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d.docs.live.net/afd69a6ab4a6e4b3/Personal BACKUP home 03.08.20/Personal home 03.08.20/AFG/Area Treasurer/2024/Financials/"/>
    </mc:Choice>
  </mc:AlternateContent>
  <xr:revisionPtr revIDLastSave="418" documentId="8_{C0590427-FCA7-465D-BEAE-A9FC04E40892}" xr6:coauthVersionLast="47" xr6:coauthVersionMax="47" xr10:uidLastSave="{0889CAB7-A754-480E-AF37-074FE2D5F522}"/>
  <bookViews>
    <workbookView xWindow="-110" yWindow="-110" windowWidth="19420" windowHeight="10300" xr2:uid="{6479663E-D269-4EC6-9812-711EF4A3C067}"/>
  </bookViews>
  <sheets>
    <sheet name="INCOME-p1" sheetId="19" r:id="rId1"/>
    <sheet name="EXPENSES-p2" sheetId="20" r:id="rId2"/>
    <sheet name="2024 Check Register-p3" sheetId="22" r:id="rId3"/>
    <sheet name="Mileage-p4" sheetId="21" r:id="rId4"/>
    <sheet name="Sept 2024 p5" sheetId="9" r:id="rId5"/>
    <sheet name="October 2024 p6" sheetId="10" r:id="rId6"/>
    <sheet name="PO" sheetId="24" r:id="rId7"/>
    <sheet name="Badges" sheetId="25" r:id="rId8"/>
    <sheet name="Aug 2024" sheetId="15" r:id="rId9"/>
    <sheet name="Jul 2024" sheetId="7" r:id="rId10"/>
    <sheet name="June 2024" sheetId="6" r:id="rId11"/>
    <sheet name="May 2024" sheetId="5" r:id="rId12"/>
    <sheet name="April 2024" sheetId="4" r:id="rId13"/>
    <sheet name="March 2024" sheetId="3" r:id="rId14"/>
    <sheet name="February 2024" sheetId="2" r:id="rId15"/>
    <sheet name="January 2024" sheetId="1" r:id="rId16"/>
    <sheet name="November 2024" sheetId="12" r:id="rId17"/>
    <sheet name="December 2024" sheetId="14" r:id="rId18"/>
  </sheets>
  <definedNames>
    <definedName name="_xlnm.Print_Area" localSheetId="2">'2024 Check Register-p3'!$A$1:$L$135</definedName>
    <definedName name="_xlnm.Print_Area" localSheetId="12">'April 2024'!$A$1:$D$50</definedName>
    <definedName name="_xlnm.Print_Area" localSheetId="17">'December 2024'!$A$1:$D$50</definedName>
    <definedName name="_xlnm.Print_Area" localSheetId="1">'EXPENSES-p2'!$A$1:$P$47</definedName>
    <definedName name="_xlnm.Print_Area" localSheetId="9">'Jul 2024'!$A$1:$D$50</definedName>
    <definedName name="_xlnm.Print_Area" localSheetId="10">'June 2024'!$A$1:$D$50</definedName>
    <definedName name="_xlnm.Print_Area" localSheetId="13">'March 2024'!$A$1:$D$50</definedName>
    <definedName name="_xlnm.Print_Area" localSheetId="11">'May 2024'!$A$1:$D$50</definedName>
    <definedName name="_xlnm.Print_Area" localSheetId="16">'November 2024'!$A$1:$D$50</definedName>
    <definedName name="_xlnm.Print_Area" localSheetId="5">'October 2024 p6'!$A$1:$D$50</definedName>
    <definedName name="_xlnm.Print_Area" localSheetId="4">'Sept 2024 p5'!$A$1:$D$50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5" i="10" l="1"/>
  <c r="R11" i="24"/>
  <c r="U14" i="24"/>
  <c r="K20" i="24"/>
  <c r="L20" i="24"/>
  <c r="M20" i="24"/>
  <c r="N20" i="24"/>
  <c r="O20" i="24"/>
  <c r="P20" i="24"/>
  <c r="Q20" i="24"/>
  <c r="R20" i="24"/>
  <c r="S20" i="24"/>
  <c r="T16" i="24"/>
  <c r="G16" i="24"/>
  <c r="B34" i="10"/>
  <c r="B6" i="10"/>
  <c r="B39" i="10"/>
  <c r="B32" i="15"/>
  <c r="B32" i="5"/>
  <c r="B32" i="7"/>
  <c r="B32" i="4"/>
  <c r="L99" i="22" l="1"/>
  <c r="L98" i="22"/>
  <c r="L96" i="22"/>
  <c r="L109" i="22"/>
  <c r="L86" i="22"/>
  <c r="L85" i="22"/>
  <c r="L64" i="22"/>
  <c r="L58" i="22"/>
  <c r="L51" i="22"/>
  <c r="L46" i="22"/>
  <c r="L24" i="22"/>
  <c r="I125" i="22"/>
  <c r="I124" i="22"/>
  <c r="F123" i="22"/>
  <c r="F124" i="22" s="1"/>
  <c r="F125" i="22" s="1"/>
  <c r="F126" i="22" s="1"/>
  <c r="F127" i="22" s="1"/>
  <c r="M37" i="20"/>
  <c r="M36" i="20"/>
  <c r="N37" i="20"/>
  <c r="B24" i="10"/>
  <c r="B45" i="10"/>
  <c r="O15" i="24"/>
  <c r="B22" i="10"/>
  <c r="F11" i="24"/>
  <c r="B35" i="9"/>
  <c r="E106" i="22"/>
  <c r="H106" i="22" s="1"/>
  <c r="B39" i="9"/>
  <c r="B14" i="9"/>
  <c r="B17" i="9"/>
  <c r="K13" i="21"/>
  <c r="B34" i="9"/>
  <c r="B18" i="10"/>
  <c r="B29" i="10"/>
  <c r="B6" i="9"/>
  <c r="H103" i="22"/>
  <c r="H104" i="22"/>
  <c r="H113" i="22"/>
  <c r="H114" i="22"/>
  <c r="I121" i="22"/>
  <c r="I122" i="22"/>
  <c r="I123" i="22"/>
  <c r="H120" i="22"/>
  <c r="H117" i="22"/>
  <c r="H116" i="22"/>
  <c r="H115" i="22"/>
  <c r="H112" i="22"/>
  <c r="H111" i="22"/>
  <c r="H110" i="22"/>
  <c r="H109" i="22"/>
  <c r="H108" i="22"/>
  <c r="H107" i="22"/>
  <c r="H105" i="22"/>
  <c r="H102" i="22"/>
  <c r="H100" i="22"/>
  <c r="H99" i="22"/>
  <c r="H98" i="22"/>
  <c r="H97" i="22"/>
  <c r="H96" i="22"/>
  <c r="H95" i="22"/>
  <c r="H94" i="22"/>
  <c r="H93" i="22"/>
  <c r="E119" i="22"/>
  <c r="H119" i="22" s="1"/>
  <c r="E118" i="22"/>
  <c r="H118" i="22" s="1"/>
  <c r="E101" i="22"/>
  <c r="I101" i="22" s="1"/>
  <c r="S14" i="24" l="1"/>
  <c r="F14" i="24"/>
  <c r="T15" i="24"/>
  <c r="T14" i="24"/>
  <c r="T13" i="24"/>
  <c r="T12" i="24"/>
  <c r="T11" i="24"/>
  <c r="T20" i="24" s="1"/>
  <c r="B6" i="7" l="1"/>
  <c r="K8" i="19" l="1"/>
  <c r="K35" i="20"/>
  <c r="B6" i="15"/>
  <c r="B14" i="7"/>
  <c r="B16" i="7"/>
  <c r="B43" i="7"/>
  <c r="H89" i="22"/>
  <c r="E79" i="22"/>
  <c r="H79" i="22" s="1"/>
  <c r="H74" i="22"/>
  <c r="H81" i="22"/>
  <c r="H91" i="22"/>
  <c r="H92" i="22"/>
  <c r="H90" i="22"/>
  <c r="H87" i="22"/>
  <c r="H86" i="22"/>
  <c r="H85" i="22"/>
  <c r="H84" i="22"/>
  <c r="H83" i="22"/>
  <c r="H82" i="22"/>
  <c r="H80" i="22"/>
  <c r="H78" i="22" l="1"/>
  <c r="H77" i="22"/>
  <c r="H76" i="22"/>
  <c r="H75" i="22"/>
  <c r="H73" i="22"/>
  <c r="H88" i="22"/>
  <c r="B8" i="7" l="1"/>
  <c r="J16" i="19"/>
  <c r="B18" i="6"/>
  <c r="B14" i="6"/>
  <c r="B39" i="6"/>
  <c r="H72" i="22"/>
  <c r="H71" i="22"/>
  <c r="H54" i="22"/>
  <c r="H53" i="22"/>
  <c r="H70" i="22"/>
  <c r="H69" i="22"/>
  <c r="H68" i="22"/>
  <c r="H67" i="22"/>
  <c r="H66" i="22"/>
  <c r="H65" i="22"/>
  <c r="H64" i="22"/>
  <c r="H63" i="22"/>
  <c r="H62" i="22"/>
  <c r="H61" i="22"/>
  <c r="H60" i="22"/>
  <c r="H58" i="22"/>
  <c r="B6" i="6"/>
  <c r="F9" i="24" l="1"/>
  <c r="F18" i="24" s="1"/>
  <c r="B35" i="6"/>
  <c r="J9" i="24"/>
  <c r="N9" i="24"/>
  <c r="B6" i="5"/>
  <c r="B19" i="5"/>
  <c r="H57" i="22"/>
  <c r="E55" i="22"/>
  <c r="H55" i="22" s="1"/>
  <c r="E59" i="22"/>
  <c r="H59" i="22" s="1"/>
  <c r="H52" i="22"/>
  <c r="E56" i="22" l="1"/>
  <c r="H56" i="22" s="1"/>
  <c r="H46" i="22" l="1"/>
  <c r="H38" i="22"/>
  <c r="B44" i="3"/>
  <c r="B16" i="4"/>
  <c r="B18" i="4"/>
  <c r="B18" i="3"/>
  <c r="M7" i="24"/>
  <c r="P7" i="24"/>
  <c r="G6" i="24"/>
  <c r="G7" i="24" s="1"/>
  <c r="G8" i="24" s="1"/>
  <c r="G9" i="24" s="1"/>
  <c r="G10" i="24" s="1"/>
  <c r="G11" i="24" s="1"/>
  <c r="G12" i="24" s="1"/>
  <c r="G13" i="24" s="1"/>
  <c r="G14" i="24" s="1"/>
  <c r="G15" i="24" s="1"/>
  <c r="B35" i="3" l="1"/>
  <c r="I7" i="22" l="1"/>
  <c r="B6" i="4"/>
  <c r="H44" i="22"/>
  <c r="H48" i="22"/>
  <c r="H47" i="22"/>
  <c r="H45" i="22"/>
  <c r="H43" i="22"/>
  <c r="H42" i="22"/>
  <c r="H41" i="22"/>
  <c r="C6" i="20" l="1"/>
  <c r="C17" i="20"/>
  <c r="C18" i="20"/>
  <c r="C19" i="20"/>
  <c r="C27" i="20"/>
  <c r="C28" i="20"/>
  <c r="C29" i="20"/>
  <c r="C31" i="20"/>
  <c r="H26" i="22" l="1"/>
  <c r="H37" i="22"/>
  <c r="G37" i="20"/>
  <c r="G36" i="20"/>
  <c r="B33" i="4"/>
  <c r="B45" i="3"/>
  <c r="B33" i="3"/>
  <c r="B6" i="3"/>
  <c r="H32" i="22"/>
  <c r="H31" i="22"/>
  <c r="E40" i="22" l="1"/>
  <c r="H40" i="22" s="1"/>
  <c r="H36" i="22"/>
  <c r="H34" i="22"/>
  <c r="H35" i="22"/>
  <c r="H39" i="22"/>
  <c r="H33" i="22" l="1"/>
  <c r="H30" i="22"/>
  <c r="H29" i="22"/>
  <c r="H28" i="22"/>
  <c r="H27" i="22"/>
  <c r="H25" i="22"/>
  <c r="H24" i="22"/>
  <c r="H23" i="22"/>
  <c r="B33" i="1"/>
  <c r="B33" i="2"/>
  <c r="B24" i="2"/>
  <c r="B20" i="2"/>
  <c r="H19" i="22" l="1"/>
  <c r="L19" i="22" s="1"/>
  <c r="B39" i="1"/>
  <c r="B18" i="2"/>
  <c r="B18" i="1"/>
  <c r="H22" i="22"/>
  <c r="H21" i="22"/>
  <c r="H20" i="22"/>
  <c r="H18" i="22"/>
  <c r="H17" i="22"/>
  <c r="H16" i="22"/>
  <c r="H15" i="22"/>
  <c r="H14" i="22"/>
  <c r="H13" i="22"/>
  <c r="H12" i="22"/>
  <c r="H11" i="22"/>
  <c r="H10" i="22"/>
  <c r="H9" i="22"/>
  <c r="F7" i="22" l="1"/>
  <c r="F8" i="22" l="1"/>
  <c r="F9" i="22" s="1"/>
  <c r="F10" i="22" s="1"/>
  <c r="F11" i="22" s="1"/>
  <c r="F12" i="22" s="1"/>
  <c r="F13" i="22" s="1"/>
  <c r="F14" i="22" s="1"/>
  <c r="F15" i="22" s="1"/>
  <c r="F16" i="22" s="1"/>
  <c r="F17" i="22" s="1"/>
  <c r="F18" i="22" s="1"/>
  <c r="F19" i="22" s="1"/>
  <c r="F20" i="22" s="1"/>
  <c r="F21" i="22" s="1"/>
  <c r="F22" i="22" s="1"/>
  <c r="F23" i="22" s="1"/>
  <c r="F24" i="22" s="1"/>
  <c r="F25" i="22" s="1"/>
  <c r="F26" i="22" s="1"/>
  <c r="F27" i="22" s="1"/>
  <c r="F28" i="22" s="1"/>
  <c r="F29" i="22" s="1"/>
  <c r="F30" i="22" s="1"/>
  <c r="F31" i="22" s="1"/>
  <c r="F32" i="22" s="1"/>
  <c r="F33" i="22" s="1"/>
  <c r="F34" i="22" s="1"/>
  <c r="F35" i="22" s="1"/>
  <c r="F36" i="22" s="1"/>
  <c r="F37" i="22" s="1"/>
  <c r="F38" i="22" s="1"/>
  <c r="F39" i="22" s="1"/>
  <c r="F40" i="22" s="1"/>
  <c r="F41" i="22" s="1"/>
  <c r="F42" i="22" s="1"/>
  <c r="F43" i="22" s="1"/>
  <c r="F44" i="22" s="1"/>
  <c r="F45" i="22" s="1"/>
  <c r="F46" i="22" s="1"/>
  <c r="F47" i="22" s="1"/>
  <c r="F48" i="22" s="1"/>
  <c r="F49" i="22" s="1"/>
  <c r="F50" i="22" s="1"/>
  <c r="F51" i="22" s="1"/>
  <c r="F52" i="22" s="1"/>
  <c r="F53" i="22" s="1"/>
  <c r="F54" i="22" s="1"/>
  <c r="F55" i="22" s="1"/>
  <c r="F56" i="22" s="1"/>
  <c r="F57" i="22" s="1"/>
  <c r="F58" i="22" s="1"/>
  <c r="F59" i="22" s="1"/>
  <c r="F60" i="22" s="1"/>
  <c r="F61" i="22" s="1"/>
  <c r="F62" i="22" s="1"/>
  <c r="F63" i="22" s="1"/>
  <c r="F64" i="22" s="1"/>
  <c r="F65" i="22" s="1"/>
  <c r="F66" i="22" s="1"/>
  <c r="F67" i="22" s="1"/>
  <c r="F68" i="22" s="1"/>
  <c r="F69" i="22" s="1"/>
  <c r="F70" i="22" s="1"/>
  <c r="F71" i="22" s="1"/>
  <c r="C4" i="1"/>
  <c r="H8" i="22"/>
  <c r="F72" i="22" l="1"/>
  <c r="F73" i="22" s="1"/>
  <c r="F74" i="22" s="1"/>
  <c r="F75" i="22" s="1"/>
  <c r="F76" i="22" s="1"/>
  <c r="F77" i="22" s="1"/>
  <c r="F78" i="22" s="1"/>
  <c r="F79" i="22" s="1"/>
  <c r="F80" i="22" s="1"/>
  <c r="F81" i="22" s="1"/>
  <c r="F82" i="22" s="1"/>
  <c r="F83" i="22" s="1"/>
  <c r="F84" i="22" s="1"/>
  <c r="F85" i="22" s="1"/>
  <c r="F86" i="22" s="1"/>
  <c r="F87" i="22" s="1"/>
  <c r="F88" i="22" s="1"/>
  <c r="F89" i="22" s="1"/>
  <c r="F90" i="22" s="1"/>
  <c r="F91" i="22" s="1"/>
  <c r="F92" i="22" s="1"/>
  <c r="F93" i="22" s="1"/>
  <c r="F94" i="22" s="1"/>
  <c r="F95" i="22" s="1"/>
  <c r="T10" i="24"/>
  <c r="U10" i="24" s="1"/>
  <c r="F96" i="22" l="1"/>
  <c r="F97" i="22" s="1"/>
  <c r="F98" i="22" s="1"/>
  <c r="F99" i="22" s="1"/>
  <c r="F100" i="22" s="1"/>
  <c r="F101" i="22" s="1"/>
  <c r="F102" i="22" s="1"/>
  <c r="F103" i="22" s="1"/>
  <c r="F104" i="22" s="1"/>
  <c r="F105" i="22" s="1"/>
  <c r="F106" i="22" s="1"/>
  <c r="F107" i="22" s="1"/>
  <c r="F108" i="22" s="1"/>
  <c r="F109" i="22" s="1"/>
  <c r="F110" i="22" s="1"/>
  <c r="F111" i="22" s="1"/>
  <c r="F112" i="22" s="1"/>
  <c r="F113" i="22" s="1"/>
  <c r="F114" i="22" s="1"/>
  <c r="F115" i="22" s="1"/>
  <c r="F116" i="22" s="1"/>
  <c r="F117" i="22" s="1"/>
  <c r="F118" i="22" s="1"/>
  <c r="F119" i="22" s="1"/>
  <c r="F120" i="22" s="1"/>
  <c r="F121" i="22" s="1"/>
  <c r="F122" i="22" s="1"/>
  <c r="T8" i="24"/>
  <c r="U8" i="24" s="1"/>
  <c r="F25" i="24"/>
  <c r="F22" i="24"/>
  <c r="F24" i="24"/>
  <c r="F28" i="24"/>
  <c r="J20" i="24"/>
  <c r="F26" i="24" s="1"/>
  <c r="F23" i="24"/>
  <c r="T9" i="24"/>
  <c r="U9" i="24" s="1"/>
  <c r="F27" i="24" l="1"/>
  <c r="F21" i="24"/>
  <c r="T17" i="24"/>
  <c r="U17" i="24" s="1"/>
  <c r="F29" i="24" l="1"/>
  <c r="G23" i="24" l="1"/>
  <c r="F30" i="24"/>
  <c r="G25" i="24"/>
  <c r="G22" i="24"/>
  <c r="G21" i="24"/>
  <c r="G28" i="24"/>
  <c r="G27" i="24"/>
  <c r="G26" i="24"/>
  <c r="G24" i="24"/>
  <c r="L32" i="19" l="1"/>
  <c r="T7" i="24" l="1"/>
  <c r="C35" i="19"/>
  <c r="U7" i="24" l="1"/>
  <c r="G29" i="24"/>
  <c r="L8" i="19"/>
  <c r="C8" i="19" l="1"/>
  <c r="D8" i="19" s="1"/>
  <c r="B1" i="21"/>
  <c r="B3" i="22"/>
  <c r="A1" i="20"/>
  <c r="N33" i="21" l="1"/>
  <c r="M33" i="21"/>
  <c r="L33" i="21"/>
  <c r="K33" i="21"/>
  <c r="J33" i="21"/>
  <c r="I33" i="21"/>
  <c r="H33" i="21"/>
  <c r="F33" i="21"/>
  <c r="E33" i="21"/>
  <c r="D33" i="21"/>
  <c r="C33" i="21"/>
  <c r="G33" i="21" l="1"/>
  <c r="O33" i="21" l="1"/>
  <c r="K129" i="22" l="1"/>
  <c r="I129" i="22" l="1"/>
  <c r="E133" i="22" s="1"/>
  <c r="E134" i="22" s="1"/>
  <c r="E135" i="22" s="1"/>
  <c r="H129" i="22" l="1"/>
  <c r="L33" i="19" l="1"/>
  <c r="L34" i="19" s="1"/>
  <c r="F6" i="20" l="1"/>
  <c r="G6" i="20"/>
  <c r="H6" i="20"/>
  <c r="I6" i="20"/>
  <c r="J6" i="20"/>
  <c r="K6" i="20"/>
  <c r="L6" i="20"/>
  <c r="M6" i="20"/>
  <c r="N6" i="20"/>
  <c r="O6" i="20"/>
  <c r="P6" i="20"/>
  <c r="F7" i="20"/>
  <c r="G7" i="20"/>
  <c r="H7" i="20"/>
  <c r="I7" i="20"/>
  <c r="J7" i="20"/>
  <c r="K7" i="20"/>
  <c r="L7" i="20"/>
  <c r="M7" i="20"/>
  <c r="N7" i="20"/>
  <c r="O7" i="20"/>
  <c r="P7" i="20"/>
  <c r="F8" i="20"/>
  <c r="G8" i="20"/>
  <c r="H8" i="20"/>
  <c r="I8" i="20"/>
  <c r="J8" i="20"/>
  <c r="K8" i="20"/>
  <c r="L8" i="20"/>
  <c r="M8" i="20"/>
  <c r="N8" i="20"/>
  <c r="O8" i="20"/>
  <c r="P8" i="20"/>
  <c r="F9" i="20"/>
  <c r="G9" i="20"/>
  <c r="H9" i="20"/>
  <c r="I9" i="20"/>
  <c r="J9" i="20"/>
  <c r="K9" i="20"/>
  <c r="L9" i="20"/>
  <c r="M9" i="20"/>
  <c r="N9" i="20"/>
  <c r="O9" i="20"/>
  <c r="P9" i="20"/>
  <c r="F10" i="20"/>
  <c r="G10" i="20"/>
  <c r="H10" i="20"/>
  <c r="I10" i="20"/>
  <c r="J10" i="20"/>
  <c r="K10" i="20"/>
  <c r="L10" i="20"/>
  <c r="M10" i="20"/>
  <c r="N10" i="20"/>
  <c r="O10" i="20"/>
  <c r="P10" i="20"/>
  <c r="F11" i="20"/>
  <c r="G11" i="20"/>
  <c r="H11" i="20"/>
  <c r="I11" i="20"/>
  <c r="J11" i="20"/>
  <c r="K11" i="20"/>
  <c r="L11" i="20"/>
  <c r="M11" i="20"/>
  <c r="C11" i="20" s="1"/>
  <c r="N11" i="20"/>
  <c r="O11" i="20"/>
  <c r="P11" i="20"/>
  <c r="F12" i="20"/>
  <c r="G12" i="20"/>
  <c r="H12" i="20"/>
  <c r="I12" i="20"/>
  <c r="J12" i="20"/>
  <c r="K12" i="20"/>
  <c r="L12" i="20"/>
  <c r="M12" i="20"/>
  <c r="N12" i="20"/>
  <c r="O12" i="20"/>
  <c r="P12" i="20"/>
  <c r="F13" i="20"/>
  <c r="G13" i="20"/>
  <c r="H13" i="20"/>
  <c r="I13" i="20"/>
  <c r="J13" i="20"/>
  <c r="K13" i="20"/>
  <c r="L13" i="20"/>
  <c r="M13" i="20"/>
  <c r="N13" i="20"/>
  <c r="O13" i="20"/>
  <c r="P13" i="20"/>
  <c r="F14" i="20"/>
  <c r="G14" i="20"/>
  <c r="H14" i="20"/>
  <c r="I14" i="20"/>
  <c r="J14" i="20"/>
  <c r="K14" i="20"/>
  <c r="L14" i="20"/>
  <c r="M14" i="20"/>
  <c r="N14" i="20"/>
  <c r="C14" i="20" s="1"/>
  <c r="O14" i="20"/>
  <c r="P14" i="20"/>
  <c r="F15" i="20"/>
  <c r="G15" i="20"/>
  <c r="H15" i="20"/>
  <c r="I15" i="20"/>
  <c r="J15" i="20"/>
  <c r="K15" i="20"/>
  <c r="L15" i="20"/>
  <c r="M15" i="20"/>
  <c r="N15" i="20"/>
  <c r="O15" i="20"/>
  <c r="P15" i="20"/>
  <c r="F16" i="20"/>
  <c r="G16" i="20"/>
  <c r="H16" i="20"/>
  <c r="I16" i="20"/>
  <c r="J16" i="20"/>
  <c r="K16" i="20"/>
  <c r="L16" i="20"/>
  <c r="M16" i="20"/>
  <c r="N16" i="20"/>
  <c r="C16" i="20" s="1"/>
  <c r="O16" i="20"/>
  <c r="P16" i="20"/>
  <c r="F17" i="20"/>
  <c r="G17" i="20"/>
  <c r="H17" i="20"/>
  <c r="I17" i="20"/>
  <c r="J17" i="20"/>
  <c r="K17" i="20"/>
  <c r="L17" i="20"/>
  <c r="M17" i="20"/>
  <c r="N17" i="20"/>
  <c r="O17" i="20"/>
  <c r="P17" i="20"/>
  <c r="F18" i="20"/>
  <c r="G18" i="20"/>
  <c r="H18" i="20"/>
  <c r="I18" i="20"/>
  <c r="J18" i="20"/>
  <c r="K18" i="20"/>
  <c r="L18" i="20"/>
  <c r="M18" i="20"/>
  <c r="N18" i="20"/>
  <c r="O18" i="20"/>
  <c r="P18" i="20"/>
  <c r="F19" i="20"/>
  <c r="G19" i="20"/>
  <c r="H19" i="20"/>
  <c r="I19" i="20"/>
  <c r="J19" i="20"/>
  <c r="K19" i="20"/>
  <c r="L19" i="20"/>
  <c r="M19" i="20"/>
  <c r="N19" i="20"/>
  <c r="O19" i="20"/>
  <c r="P19" i="20"/>
  <c r="F20" i="20"/>
  <c r="G20" i="20"/>
  <c r="H20" i="20"/>
  <c r="I20" i="20"/>
  <c r="J20" i="20"/>
  <c r="K20" i="20"/>
  <c r="L20" i="20"/>
  <c r="M20" i="20"/>
  <c r="N20" i="20"/>
  <c r="C20" i="20" s="1"/>
  <c r="O20" i="20"/>
  <c r="P20" i="20"/>
  <c r="F21" i="20"/>
  <c r="G21" i="20"/>
  <c r="H21" i="20"/>
  <c r="I21" i="20"/>
  <c r="J21" i="20"/>
  <c r="K21" i="20"/>
  <c r="C21" i="20" s="1"/>
  <c r="L21" i="20"/>
  <c r="M21" i="20"/>
  <c r="N21" i="20"/>
  <c r="O21" i="20"/>
  <c r="P21" i="20"/>
  <c r="N22" i="20"/>
  <c r="O22" i="20"/>
  <c r="P22" i="20"/>
  <c r="F23" i="20"/>
  <c r="G23" i="20"/>
  <c r="H23" i="20"/>
  <c r="I23" i="20"/>
  <c r="J23" i="20"/>
  <c r="K23" i="20"/>
  <c r="L23" i="20"/>
  <c r="M23" i="20"/>
  <c r="N23" i="20"/>
  <c r="O23" i="20"/>
  <c r="P23" i="20"/>
  <c r="F24" i="20"/>
  <c r="G24" i="20"/>
  <c r="H24" i="20"/>
  <c r="I24" i="20"/>
  <c r="J24" i="20"/>
  <c r="K24" i="20"/>
  <c r="L24" i="20"/>
  <c r="M24" i="20"/>
  <c r="N24" i="20"/>
  <c r="O24" i="20"/>
  <c r="P24" i="20"/>
  <c r="F25" i="20"/>
  <c r="G25" i="20"/>
  <c r="H25" i="20"/>
  <c r="I25" i="20"/>
  <c r="J25" i="20"/>
  <c r="K25" i="20"/>
  <c r="L25" i="20"/>
  <c r="M25" i="20"/>
  <c r="N25" i="20"/>
  <c r="O25" i="20"/>
  <c r="P25" i="20"/>
  <c r="F26" i="20"/>
  <c r="G26" i="20"/>
  <c r="H26" i="20"/>
  <c r="I26" i="20"/>
  <c r="J26" i="20"/>
  <c r="K26" i="20"/>
  <c r="L26" i="20"/>
  <c r="M26" i="20"/>
  <c r="N26" i="20"/>
  <c r="O26" i="20"/>
  <c r="P26" i="20"/>
  <c r="F27" i="20"/>
  <c r="G27" i="20"/>
  <c r="H27" i="20"/>
  <c r="I27" i="20"/>
  <c r="J27" i="20"/>
  <c r="K27" i="20"/>
  <c r="L27" i="20"/>
  <c r="M27" i="20"/>
  <c r="N27" i="20"/>
  <c r="O27" i="20"/>
  <c r="P27" i="20"/>
  <c r="F28" i="20"/>
  <c r="G28" i="20"/>
  <c r="H28" i="20"/>
  <c r="I28" i="20"/>
  <c r="J28" i="20"/>
  <c r="K28" i="20"/>
  <c r="L28" i="20"/>
  <c r="M28" i="20"/>
  <c r="N28" i="20"/>
  <c r="O28" i="20"/>
  <c r="P28" i="20"/>
  <c r="F29" i="20"/>
  <c r="G29" i="20"/>
  <c r="H29" i="20"/>
  <c r="I29" i="20"/>
  <c r="J29" i="20"/>
  <c r="K29" i="20"/>
  <c r="L29" i="20"/>
  <c r="M29" i="20"/>
  <c r="N29" i="20"/>
  <c r="O29" i="20"/>
  <c r="P29" i="20"/>
  <c r="F30" i="20"/>
  <c r="G30" i="20"/>
  <c r="H30" i="20"/>
  <c r="I30" i="20"/>
  <c r="J30" i="20"/>
  <c r="K30" i="20"/>
  <c r="L30" i="20"/>
  <c r="M30" i="20"/>
  <c r="N30" i="20"/>
  <c r="O30" i="20"/>
  <c r="P30" i="20"/>
  <c r="F31" i="20"/>
  <c r="G31" i="20"/>
  <c r="H31" i="20"/>
  <c r="I31" i="20"/>
  <c r="J31" i="20"/>
  <c r="K31" i="20"/>
  <c r="L31" i="20"/>
  <c r="M31" i="20"/>
  <c r="N31" i="20"/>
  <c r="O31" i="20"/>
  <c r="P31" i="20"/>
  <c r="F32" i="20"/>
  <c r="G32" i="20"/>
  <c r="H32" i="20"/>
  <c r="I32" i="20"/>
  <c r="J32" i="20"/>
  <c r="K32" i="20"/>
  <c r="L32" i="20"/>
  <c r="M32" i="20"/>
  <c r="N32" i="20"/>
  <c r="O32" i="20"/>
  <c r="P32" i="20"/>
  <c r="P5" i="20"/>
  <c r="O5" i="20"/>
  <c r="N5" i="20"/>
  <c r="M5" i="20"/>
  <c r="L5" i="20"/>
  <c r="K5" i="20"/>
  <c r="J5" i="20"/>
  <c r="I5" i="20"/>
  <c r="H5" i="20"/>
  <c r="G5" i="20"/>
  <c r="F5" i="20"/>
  <c r="E6" i="20"/>
  <c r="E7" i="20"/>
  <c r="E8" i="20"/>
  <c r="E9" i="20"/>
  <c r="E10" i="20"/>
  <c r="E11" i="20"/>
  <c r="E12" i="20"/>
  <c r="E13" i="20"/>
  <c r="E14" i="20"/>
  <c r="E15" i="20"/>
  <c r="E16" i="20"/>
  <c r="E17" i="20"/>
  <c r="E18" i="20"/>
  <c r="E19" i="20"/>
  <c r="E20" i="20"/>
  <c r="E21" i="20"/>
  <c r="E23" i="20"/>
  <c r="E24" i="20"/>
  <c r="C24" i="20" s="1"/>
  <c r="E25" i="20"/>
  <c r="E26" i="20"/>
  <c r="E27" i="20"/>
  <c r="E28" i="20"/>
  <c r="E29" i="20"/>
  <c r="E30" i="20"/>
  <c r="E31" i="20"/>
  <c r="E32" i="20"/>
  <c r="E5" i="20"/>
  <c r="D19" i="21"/>
  <c r="B31" i="2" s="1"/>
  <c r="F22" i="20" s="1"/>
  <c r="E19" i="21"/>
  <c r="B31" i="3" s="1"/>
  <c r="G22" i="20" s="1"/>
  <c r="F19" i="21"/>
  <c r="B31" i="4" s="1"/>
  <c r="H22" i="20" s="1"/>
  <c r="G19" i="21"/>
  <c r="H19" i="21"/>
  <c r="B31" i="6" s="1"/>
  <c r="J22" i="20" s="1"/>
  <c r="I19" i="21"/>
  <c r="B31" i="7" s="1"/>
  <c r="K22" i="20" s="1"/>
  <c r="J19" i="21"/>
  <c r="B31" i="15" s="1"/>
  <c r="L22" i="20" s="1"/>
  <c r="K19" i="21"/>
  <c r="L19" i="21"/>
  <c r="B31" i="10" s="1"/>
  <c r="M19" i="21"/>
  <c r="B31" i="12" s="1"/>
  <c r="N19" i="21"/>
  <c r="B31" i="14" s="1"/>
  <c r="C19" i="21"/>
  <c r="C23" i="20" l="1"/>
  <c r="C13" i="20"/>
  <c r="C8" i="20"/>
  <c r="C12" i="20"/>
  <c r="C25" i="20"/>
  <c r="C10" i="20"/>
  <c r="C7" i="20"/>
  <c r="C15" i="20"/>
  <c r="C26" i="20"/>
  <c r="C30" i="20"/>
  <c r="C9" i="20"/>
  <c r="M22" i="20"/>
  <c r="M33" i="20" s="1"/>
  <c r="B31" i="9"/>
  <c r="B31" i="5"/>
  <c r="I22" i="20" s="1"/>
  <c r="B31" i="1"/>
  <c r="E22" i="20" s="1"/>
  <c r="O19" i="21"/>
  <c r="F40" i="20"/>
  <c r="G40" i="20"/>
  <c r="H40" i="20"/>
  <c r="I40" i="20"/>
  <c r="J40" i="20"/>
  <c r="K40" i="20"/>
  <c r="L40" i="20"/>
  <c r="M40" i="20"/>
  <c r="N40" i="20"/>
  <c r="O40" i="20"/>
  <c r="P40" i="20"/>
  <c r="F33" i="20"/>
  <c r="G33" i="20"/>
  <c r="H33" i="20"/>
  <c r="J33" i="20"/>
  <c r="K33" i="20"/>
  <c r="L33" i="20"/>
  <c r="N33" i="20"/>
  <c r="O33" i="20"/>
  <c r="P33" i="20"/>
  <c r="C36" i="20"/>
  <c r="C37" i="20"/>
  <c r="C38" i="20"/>
  <c r="C39" i="20"/>
  <c r="C32" i="20"/>
  <c r="C16" i="19"/>
  <c r="C15" i="19"/>
  <c r="C14" i="19"/>
  <c r="C13" i="19"/>
  <c r="C12" i="19"/>
  <c r="C10" i="19"/>
  <c r="B19" i="19"/>
  <c r="C22" i="20" l="1"/>
  <c r="K130" i="22" s="1"/>
  <c r="L42" i="20"/>
  <c r="L23" i="19" s="1"/>
  <c r="T21" i="24"/>
  <c r="T22" i="24" s="1"/>
  <c r="J42" i="20"/>
  <c r="J23" i="19" s="1"/>
  <c r="K42" i="20"/>
  <c r="K23" i="19" s="1"/>
  <c r="H42" i="20"/>
  <c r="H23" i="19" s="1"/>
  <c r="I33" i="20"/>
  <c r="I42" i="20" s="1"/>
  <c r="I23" i="19" s="1"/>
  <c r="F42" i="20"/>
  <c r="F23" i="19" s="1"/>
  <c r="N42" i="20"/>
  <c r="N23" i="19" s="1"/>
  <c r="M42" i="20"/>
  <c r="M23" i="19" s="1"/>
  <c r="O42" i="20"/>
  <c r="O23" i="19" s="1"/>
  <c r="G42" i="20"/>
  <c r="G23" i="19" s="1"/>
  <c r="P42" i="20"/>
  <c r="P23" i="19" s="1"/>
  <c r="P7" i="19" l="1"/>
  <c r="O7" i="19"/>
  <c r="N7" i="19"/>
  <c r="M7" i="19"/>
  <c r="J7" i="19"/>
  <c r="I7" i="19"/>
  <c r="H7" i="19"/>
  <c r="G7" i="19"/>
  <c r="F7" i="19"/>
  <c r="P6" i="19"/>
  <c r="O6" i="19"/>
  <c r="N6" i="19"/>
  <c r="M6" i="19"/>
  <c r="L6" i="19"/>
  <c r="K6" i="19"/>
  <c r="J6" i="19"/>
  <c r="I6" i="19"/>
  <c r="H6" i="19"/>
  <c r="G6" i="19"/>
  <c r="F6" i="19"/>
  <c r="E7" i="19"/>
  <c r="E6" i="19"/>
  <c r="P5" i="19"/>
  <c r="O5" i="19"/>
  <c r="N5" i="19"/>
  <c r="M5" i="19"/>
  <c r="K5" i="19"/>
  <c r="J5" i="19"/>
  <c r="I5" i="19"/>
  <c r="H5" i="19"/>
  <c r="G5" i="19"/>
  <c r="F5" i="19"/>
  <c r="E5" i="19"/>
  <c r="D26" i="19"/>
  <c r="C5" i="20"/>
  <c r="D5" i="20" s="1"/>
  <c r="D6" i="20"/>
  <c r="D7" i="20"/>
  <c r="D8" i="20"/>
  <c r="D9" i="20"/>
  <c r="D10" i="20"/>
  <c r="D11" i="20"/>
  <c r="D12" i="20"/>
  <c r="D13" i="20"/>
  <c r="D14" i="20"/>
  <c r="D15" i="20"/>
  <c r="D16" i="20"/>
  <c r="D17" i="20"/>
  <c r="D18" i="20"/>
  <c r="D19" i="20"/>
  <c r="D20" i="20"/>
  <c r="D21" i="20"/>
  <c r="D22" i="20"/>
  <c r="D23" i="20"/>
  <c r="D24" i="20"/>
  <c r="D25" i="20"/>
  <c r="D26" i="20"/>
  <c r="D27" i="20"/>
  <c r="D28" i="20"/>
  <c r="D29" i="20"/>
  <c r="D30" i="20"/>
  <c r="D31" i="20"/>
  <c r="D32" i="20"/>
  <c r="B33" i="20"/>
  <c r="E33" i="20"/>
  <c r="C35" i="20"/>
  <c r="D35" i="20" s="1"/>
  <c r="D36" i="20"/>
  <c r="D37" i="20"/>
  <c r="D38" i="20"/>
  <c r="D39" i="20"/>
  <c r="B40" i="20"/>
  <c r="E40" i="20"/>
  <c r="D10" i="19"/>
  <c r="D12" i="19"/>
  <c r="D13" i="19"/>
  <c r="D14" i="19"/>
  <c r="D15" i="19"/>
  <c r="D16" i="19"/>
  <c r="B22" i="19"/>
  <c r="C48" i="14"/>
  <c r="C11" i="14"/>
  <c r="C48" i="12"/>
  <c r="C11" i="12"/>
  <c r="C48" i="10"/>
  <c r="C11" i="10"/>
  <c r="C48" i="9"/>
  <c r="C11" i="9"/>
  <c r="C48" i="15"/>
  <c r="C48" i="7"/>
  <c r="C11" i="7"/>
  <c r="C48" i="6"/>
  <c r="C11" i="6"/>
  <c r="C48" i="5"/>
  <c r="C11" i="5"/>
  <c r="C48" i="4"/>
  <c r="C11" i="4"/>
  <c r="C48" i="3"/>
  <c r="C11" i="3"/>
  <c r="C48" i="2"/>
  <c r="C11" i="2"/>
  <c r="C48" i="1"/>
  <c r="C11" i="1"/>
  <c r="B42" i="20" l="1"/>
  <c r="B23" i="19" s="1"/>
  <c r="B24" i="19" s="1"/>
  <c r="N19" i="19"/>
  <c r="N22" i="19" s="1"/>
  <c r="N24" i="19" s="1"/>
  <c r="B30" i="19"/>
  <c r="D30" i="19" s="1"/>
  <c r="H19" i="19"/>
  <c r="H22" i="19" s="1"/>
  <c r="H24" i="19" s="1"/>
  <c r="F19" i="19"/>
  <c r="F22" i="19" s="1"/>
  <c r="F24" i="19" s="1"/>
  <c r="C7" i="19"/>
  <c r="G19" i="19"/>
  <c r="G22" i="19" s="1"/>
  <c r="G24" i="19" s="1"/>
  <c r="M19" i="19"/>
  <c r="M22" i="19" s="1"/>
  <c r="M24" i="19" s="1"/>
  <c r="C9" i="19"/>
  <c r="D9" i="19" s="1"/>
  <c r="J19" i="19"/>
  <c r="J22" i="19" s="1"/>
  <c r="J24" i="19" s="1"/>
  <c r="K19" i="19"/>
  <c r="K22" i="19" s="1"/>
  <c r="K24" i="19" s="1"/>
  <c r="O19" i="19"/>
  <c r="O22" i="19" s="1"/>
  <c r="O24" i="19" s="1"/>
  <c r="P19" i="19"/>
  <c r="P22" i="19" s="1"/>
  <c r="P24" i="19" s="1"/>
  <c r="C6" i="19"/>
  <c r="D6" i="19" s="1"/>
  <c r="I19" i="19"/>
  <c r="I22" i="19" s="1"/>
  <c r="I24" i="19" s="1"/>
  <c r="E19" i="19"/>
  <c r="E22" i="19" s="1"/>
  <c r="D40" i="20"/>
  <c r="E42" i="20"/>
  <c r="E23" i="19" s="1"/>
  <c r="C23" i="19" s="1"/>
  <c r="C33" i="20"/>
  <c r="B33" i="19" s="1"/>
  <c r="D33" i="19" s="1"/>
  <c r="D33" i="20"/>
  <c r="C40" i="20"/>
  <c r="B34" i="19" s="1"/>
  <c r="D7" i="19" l="1"/>
  <c r="B32" i="19"/>
  <c r="D34" i="19"/>
  <c r="D23" i="19"/>
  <c r="E24" i="19"/>
  <c r="E26" i="19" s="1"/>
  <c r="F26" i="19" s="1"/>
  <c r="D42" i="20"/>
  <c r="C42" i="20"/>
  <c r="C50" i="1"/>
  <c r="C4" i="2" s="1"/>
  <c r="C50" i="2" s="1"/>
  <c r="C4" i="3" s="1"/>
  <c r="C50" i="3" s="1"/>
  <c r="C4" i="4" s="1"/>
  <c r="C50" i="4" s="1"/>
  <c r="C4" i="5" l="1"/>
  <c r="C50" i="5" s="1"/>
  <c r="C4" i="6" s="1"/>
  <c r="C50" i="6" s="1"/>
  <c r="C4" i="7" s="1"/>
  <c r="C50" i="7" s="1"/>
  <c r="C4" i="15" s="1"/>
  <c r="G26" i="19"/>
  <c r="H26" i="19" l="1"/>
  <c r="I26" i="19" l="1"/>
  <c r="J26" i="19" l="1"/>
  <c r="K26" i="19" s="1"/>
  <c r="C11" i="15" l="1"/>
  <c r="C50" i="15" s="1"/>
  <c r="C4" i="9" s="1"/>
  <c r="C50" i="9" s="1"/>
  <c r="L5" i="19"/>
  <c r="L19" i="19" s="1"/>
  <c r="L22" i="19" s="1"/>
  <c r="L24" i="19" s="1"/>
  <c r="L26" i="19" s="1"/>
  <c r="M26" i="19" s="1"/>
  <c r="C5" i="19"/>
  <c r="B31" i="19" s="1"/>
  <c r="B35" i="19" s="1"/>
  <c r="D35" i="19" s="1"/>
  <c r="C4" i="10" l="1"/>
  <c r="C50" i="10" s="1"/>
  <c r="N26" i="19"/>
  <c r="L35" i="19" s="1"/>
  <c r="D31" i="19"/>
  <c r="C19" i="19"/>
  <c r="C22" i="19" s="1"/>
  <c r="D5" i="19"/>
  <c r="D19" i="19" s="1"/>
  <c r="D22" i="19" s="1"/>
  <c r="D24" i="19" s="1"/>
  <c r="C4" i="12" l="1"/>
  <c r="C50" i="12" s="1"/>
  <c r="C4" i="14" s="1"/>
  <c r="C50" i="14" s="1"/>
  <c r="O26" i="19"/>
  <c r="C24" i="19"/>
  <c r="P26" i="19" l="1"/>
  <c r="D32"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D15" authorId="0" shapeId="0" xr:uid="{BBA3E577-3CD4-4BF5-89E8-8CA93A378F85}">
      <text>
        <r>
          <rPr>
            <b/>
            <sz val="9"/>
            <color indexed="81"/>
            <rFont val="Tahoma"/>
            <charset val="1"/>
          </rPr>
          <t>Owner:</t>
        </r>
        <r>
          <rPr>
            <sz val="9"/>
            <color indexed="81"/>
            <rFont val="Tahoma"/>
            <charset val="1"/>
          </rPr>
          <t xml:space="preserve">
within 10% allowed variance</t>
        </r>
      </text>
    </comment>
    <comment ref="D20" authorId="0" shapeId="0" xr:uid="{FA46D045-B7D3-4854-89ED-8FBFEAC4E972}">
      <text>
        <r>
          <rPr>
            <b/>
            <sz val="9"/>
            <color indexed="81"/>
            <rFont val="Tahoma"/>
            <charset val="1"/>
          </rPr>
          <t>Owner:</t>
        </r>
        <r>
          <rPr>
            <sz val="9"/>
            <color indexed="81"/>
            <rFont val="Tahoma"/>
            <charset val="1"/>
          </rPr>
          <t xml:space="preserve">
Deposit of $804 in November for LDC 1/3 reimb</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Stephanie Swenson</author>
  </authors>
  <commentList>
    <comment ref="F7" authorId="0" shapeId="0" xr:uid="{683E89F1-1709-4738-9417-033D3E61FAFD}">
      <text>
        <r>
          <rPr>
            <b/>
            <sz val="9"/>
            <color indexed="81"/>
            <rFont val="Tahoma"/>
            <family val="2"/>
          </rPr>
          <t>Stephanie Swenson:</t>
        </r>
        <r>
          <rPr>
            <sz val="9"/>
            <color indexed="81"/>
            <rFont val="Tahoma"/>
            <family val="2"/>
          </rPr>
          <t xml:space="preserve">
$1,102.58 was adding back the fraudulent charge that was deducted from our bank account on 06/20/23.  The bank credited our account this amount on 1/11/24 after their investigation.</t>
        </r>
      </text>
    </comment>
    <comment ref="I7" authorId="0" shapeId="0" xr:uid="{A225DDAE-1FF4-4130-9FBA-E7BAA6AD97E0}">
      <text>
        <r>
          <rPr>
            <b/>
            <sz val="9"/>
            <color indexed="81"/>
            <rFont val="Tahoma"/>
            <family val="2"/>
          </rPr>
          <t>Stephanie Swenson:</t>
        </r>
        <r>
          <rPr>
            <sz val="9"/>
            <color indexed="81"/>
            <rFont val="Tahoma"/>
            <family val="2"/>
          </rPr>
          <t xml:space="preserve">
outstanding from 2023 - check #3185 issued 8/14/17. $71.40 Hannah D. speaker check #3824 issued 12/01/23</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O8" authorId="0" shapeId="0" xr:uid="{C3C6CB8B-F270-4844-B31F-A9FE93DA9BD6}">
      <text>
        <r>
          <rPr>
            <b/>
            <sz val="9"/>
            <color indexed="81"/>
            <rFont val="Tahoma"/>
            <family val="2"/>
          </rPr>
          <t>Owner:</t>
        </r>
        <r>
          <rPr>
            <sz val="9"/>
            <color indexed="81"/>
            <rFont val="Tahoma"/>
            <family val="2"/>
          </rPr>
          <t xml:space="preserve">
QTIP holder (Don't Take It Personal)
</t>
        </r>
      </text>
    </comment>
    <comment ref="F11" authorId="0" shapeId="0" xr:uid="{8D498C85-8C40-4A68-9351-666973DFD373}">
      <text>
        <r>
          <rPr>
            <b/>
            <sz val="9"/>
            <color indexed="81"/>
            <rFont val="Tahoma"/>
            <charset val="1"/>
          </rPr>
          <t>Owner:</t>
        </r>
        <r>
          <rPr>
            <sz val="9"/>
            <color indexed="81"/>
            <rFont val="Tahoma"/>
            <charset val="1"/>
          </rPr>
          <t xml:space="preserve">
bank cleared $.03 less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B32" authorId="0" shapeId="0" xr:uid="{F869ED99-9713-4908-8EE8-612DE08776D1}">
      <text>
        <r>
          <rPr>
            <b/>
            <sz val="9"/>
            <color indexed="81"/>
            <rFont val="Tahoma"/>
            <family val="2"/>
          </rPr>
          <t>Owner:</t>
        </r>
        <r>
          <rPr>
            <sz val="9"/>
            <color indexed="81"/>
            <rFont val="Tahoma"/>
            <family val="2"/>
          </rPr>
          <t xml:space="preserve">
$10.26 shipping and tax absorbed by Area.  Convention Chair and Co-Chair are covered by the Area, as well as Alateen Coordinator</t>
        </r>
      </text>
    </comment>
  </commentList>
</comments>
</file>

<file path=xl/sharedStrings.xml><?xml version="1.0" encoding="utf-8"?>
<sst xmlns="http://schemas.openxmlformats.org/spreadsheetml/2006/main" count="1051" uniqueCount="382">
  <si>
    <t>PAGE #1</t>
  </si>
  <si>
    <t>ANNUAL BUDGET</t>
  </si>
  <si>
    <t>YTD ACTUAL</t>
  </si>
  <si>
    <t>(OVER)/UNDER BUDGET</t>
  </si>
  <si>
    <t>JAN</t>
  </si>
  <si>
    <t>FEB</t>
  </si>
  <si>
    <t>MAR</t>
  </si>
  <si>
    <t>APR</t>
  </si>
  <si>
    <t>MAY</t>
  </si>
  <si>
    <t>JUN</t>
  </si>
  <si>
    <t>JUL</t>
  </si>
  <si>
    <t>AUG</t>
  </si>
  <si>
    <t>SEP</t>
  </si>
  <si>
    <t>OCT</t>
  </si>
  <si>
    <t>NOV</t>
  </si>
  <si>
    <t>DEC</t>
  </si>
  <si>
    <t>INCOME:</t>
  </si>
  <si>
    <t>Group/District Contributions</t>
  </si>
  <si>
    <t>Quick Refererance Guides</t>
  </si>
  <si>
    <t>Convention profit distribution</t>
  </si>
  <si>
    <t>Registration Spring Assembly</t>
  </si>
  <si>
    <t>Unexpected Income</t>
  </si>
  <si>
    <t>Cash from Checking</t>
  </si>
  <si>
    <t xml:space="preserve"> </t>
  </si>
  <si>
    <t>Seed Money</t>
  </si>
  <si>
    <t>Convention</t>
  </si>
  <si>
    <t>Spring Assembly</t>
  </si>
  <si>
    <t>Fall Assembly</t>
  </si>
  <si>
    <t>Special Events</t>
  </si>
  <si>
    <t>CAWW</t>
  </si>
  <si>
    <t>Sub-total Seed Money</t>
  </si>
  <si>
    <t>Total Income</t>
  </si>
  <si>
    <t>Summary Income versus Expense:</t>
  </si>
  <si>
    <t>INCOME</t>
  </si>
  <si>
    <t>EXPENSES</t>
  </si>
  <si>
    <t>Difference Between Income and Expenses</t>
  </si>
  <si>
    <t>CASH BALANCE</t>
  </si>
  <si>
    <r>
      <t xml:space="preserve">Summary </t>
    </r>
    <r>
      <rPr>
        <b/>
        <u/>
        <sz val="10"/>
        <rFont val="Arial"/>
        <family val="2"/>
      </rPr>
      <t>- Year Over Year</t>
    </r>
  </si>
  <si>
    <t>YTD</t>
  </si>
  <si>
    <t>Same Period</t>
  </si>
  <si>
    <t>2023</t>
  </si>
  <si>
    <t>Diff over/(under)</t>
  </si>
  <si>
    <t>ENDING CASH</t>
  </si>
  <si>
    <t>Beginning Cash 1/1</t>
  </si>
  <si>
    <t>plus YTD Group Contributions</t>
  </si>
  <si>
    <t>plus YTD other income</t>
  </si>
  <si>
    <t>Bank Balance</t>
  </si>
  <si>
    <t>less YTD Expenses</t>
  </si>
  <si>
    <t>Outstanding items</t>
  </si>
  <si>
    <t>see check register tab for details</t>
  </si>
  <si>
    <t>less YTD net Seed Money</t>
  </si>
  <si>
    <t xml:space="preserve">Ending Cash </t>
  </si>
  <si>
    <t>Checkbook balance</t>
  </si>
  <si>
    <t>diff</t>
  </si>
  <si>
    <t>Public Outreach</t>
  </si>
  <si>
    <t>PAGE #2</t>
  </si>
  <si>
    <t>EXPENSES:</t>
  </si>
  <si>
    <t>AA Events Coordinator</t>
  </si>
  <si>
    <t>AAPP</t>
  </si>
  <si>
    <t>Alateen Co-ordinator</t>
  </si>
  <si>
    <t>Alternate delegate</t>
  </si>
  <si>
    <t>Answering Service</t>
  </si>
  <si>
    <t>Archives</t>
  </si>
  <si>
    <t>Area Meeting</t>
  </si>
  <si>
    <t>Board of Directors</t>
  </si>
  <si>
    <t>BOD: Office Staff/LDC &amp; Storage</t>
  </si>
  <si>
    <t>Chairman</t>
  </si>
  <si>
    <t>Delegate</t>
  </si>
  <si>
    <t>Group Records</t>
  </si>
  <si>
    <t>Equalized Expenses</t>
  </si>
  <si>
    <t>Equipment Purchase/Repairs</t>
  </si>
  <si>
    <t xml:space="preserve">Ex-Officio </t>
  </si>
  <si>
    <t>Insurance &amp; Bonding</t>
  </si>
  <si>
    <t>Literature &amp; Forum (Expenses)</t>
  </si>
  <si>
    <t>Mileage (.30/mile)</t>
  </si>
  <si>
    <t>Miscellaneous</t>
  </si>
  <si>
    <t>N.Eastern Regional Delegates (NERD)</t>
  </si>
  <si>
    <t>Operating Expenses(background checks)</t>
  </si>
  <si>
    <t>Secretary</t>
  </si>
  <si>
    <t>Spanish Liason</t>
  </si>
  <si>
    <t>Thought/Task Force Expenses</t>
  </si>
  <si>
    <t>Treasurer</t>
  </si>
  <si>
    <t>Webmaster</t>
  </si>
  <si>
    <t>Adjustment to Excel Ckbk to =Bank Bal.</t>
  </si>
  <si>
    <t>SUBTOTAL EXPENSES</t>
  </si>
  <si>
    <t>Seed Money PAID:</t>
  </si>
  <si>
    <t xml:space="preserve">Spring Assembly </t>
  </si>
  <si>
    <t xml:space="preserve">Fall Assembly </t>
  </si>
  <si>
    <t>CT Alateen Weekend Workshop-CAWW</t>
  </si>
  <si>
    <t>SUBTOTAL SEED MONEY</t>
  </si>
  <si>
    <t>TOTAL EXPENSES</t>
  </si>
  <si>
    <t>PAGE #3</t>
  </si>
  <si>
    <t>Check Number</t>
  </si>
  <si>
    <t>Date</t>
  </si>
  <si>
    <t>Description</t>
  </si>
  <si>
    <t>Activity</t>
  </si>
  <si>
    <t>Balance</t>
  </si>
  <si>
    <t>Cleared</t>
  </si>
  <si>
    <t>Outstanding</t>
  </si>
  <si>
    <t>Mileage</t>
  </si>
  <si>
    <t>Committee / Other</t>
  </si>
  <si>
    <t>Beginning balance 1/1/23</t>
  </si>
  <si>
    <t>Lingo (answering service)</t>
  </si>
  <si>
    <t>Group Contributions</t>
  </si>
  <si>
    <t>Bank Reconciliation:</t>
  </si>
  <si>
    <t>Bank balance</t>
  </si>
  <si>
    <t>less outstanding items (above)</t>
  </si>
  <si>
    <t>AREA MILEAGE REIMBURSEMENT</t>
  </si>
  <si>
    <t>PAGE #4</t>
  </si>
  <si>
    <t>TOTAL</t>
  </si>
  <si>
    <t>Total</t>
  </si>
  <si>
    <t>NOTE:  The only mileage that goes in this line item is mileage related to Area meetings or Assemblies, except BOD and AA Events Liaison which all goes through their own line item.</t>
  </si>
  <si>
    <t>Board of Directors - MILEAGE REIMBURSEMENT</t>
  </si>
  <si>
    <t>PAGE #5</t>
  </si>
  <si>
    <t>Quick Reference Guides</t>
  </si>
  <si>
    <t>Registration Fall Assembly</t>
  </si>
  <si>
    <t>Returned Seed Money</t>
  </si>
  <si>
    <t>Unexpected Return</t>
  </si>
  <si>
    <t>TOTAL INCOME</t>
  </si>
  <si>
    <t>+</t>
  </si>
  <si>
    <t>Alternate Delegate</t>
  </si>
  <si>
    <t>BOD: Office Staff/LDC &amp; Storage Facility</t>
  </si>
  <si>
    <t>Equipement Purchase/Repair</t>
  </si>
  <si>
    <t>Ex-Officio</t>
  </si>
  <si>
    <t>see mileage tab</t>
  </si>
  <si>
    <t>Miscellanous</t>
  </si>
  <si>
    <t xml:space="preserve">Convention </t>
  </si>
  <si>
    <t>-</t>
  </si>
  <si>
    <t>Miscellaneous Income</t>
  </si>
  <si>
    <t>PUBLIC OUTREACH EXPENSES:</t>
  </si>
  <si>
    <t>Expenses</t>
  </si>
  <si>
    <t>Area Mtg. Mileage</t>
  </si>
  <si>
    <t>Literature</t>
  </si>
  <si>
    <t>ConnAPA registration</t>
  </si>
  <si>
    <t>Expo Fees</t>
  </si>
  <si>
    <t>Postage</t>
  </si>
  <si>
    <t>Supplies/Storage</t>
  </si>
  <si>
    <t>Fortune Cookies</t>
  </si>
  <si>
    <t>Paid</t>
  </si>
  <si>
    <t>`</t>
  </si>
  <si>
    <t>%</t>
  </si>
  <si>
    <t>Supplies/storage</t>
  </si>
  <si>
    <t>Registrations / fees</t>
  </si>
  <si>
    <t>Total paid PO</t>
  </si>
  <si>
    <t>Theresa P. (NERD)</t>
  </si>
  <si>
    <t>Ellaine M. (NERD - two nights hotel)</t>
  </si>
  <si>
    <t>VOID</t>
  </si>
  <si>
    <t>Marcia M. (NERD)</t>
  </si>
  <si>
    <t>Joan V. (NERD)</t>
  </si>
  <si>
    <t>Direct Debit</t>
  </si>
  <si>
    <t>Debit Card</t>
  </si>
  <si>
    <t>US Postal Service-annual PO Box rental</t>
  </si>
  <si>
    <t>US Postal Service - stamps</t>
  </si>
  <si>
    <t>2024 Area Check Register</t>
  </si>
  <si>
    <t>2024 CT AFG FINANCIALS</t>
  </si>
  <si>
    <t>2024 CT AFG EXPENSES</t>
  </si>
  <si>
    <t>TREASURER'S REPORT ENDING  January 31, 2024</t>
  </si>
  <si>
    <t>Starting balance January  1, 2024</t>
  </si>
  <si>
    <t>Ending Balance as of January 31, 2024</t>
  </si>
  <si>
    <t>TREASURER'S REPORT ENDING February 29th</t>
  </si>
  <si>
    <t>Starting balance February  1st</t>
  </si>
  <si>
    <t>Ending Balance as of February 29th</t>
  </si>
  <si>
    <t>TREASURER'S REPORT ENDING  March 31st</t>
  </si>
  <si>
    <t>Starting balance March  1st</t>
  </si>
  <si>
    <t>Ending Balance as of March 31st</t>
  </si>
  <si>
    <t>TREASURER'S REPORT ENDING  April 30th</t>
  </si>
  <si>
    <t>Starting balance April  1st</t>
  </si>
  <si>
    <t>Ending Balance as of April 30th</t>
  </si>
  <si>
    <t>TREASURER'S REPORT ENDING  May 31st</t>
  </si>
  <si>
    <t>Starting balance May  1st</t>
  </si>
  <si>
    <t>Ending Balance as of May 31st</t>
  </si>
  <si>
    <t>TREASURER'S REPORT ENDING  June 30th</t>
  </si>
  <si>
    <t>Starting balance June  1st</t>
  </si>
  <si>
    <t>Ending Balance as of June 30th</t>
  </si>
  <si>
    <t>TREASURER'S REPORT ENDING  July 31st</t>
  </si>
  <si>
    <t>Starting balance July  1st</t>
  </si>
  <si>
    <t>Ending Balance as of July 31st</t>
  </si>
  <si>
    <t>TREASURER'S REPORT ENDING  August 31st</t>
  </si>
  <si>
    <t>Starting balance August  1st</t>
  </si>
  <si>
    <t>Ending Balance as of August 31st</t>
  </si>
  <si>
    <t>TREASURER'S REPORT ENDING  September 30th</t>
  </si>
  <si>
    <t>Starting balance September  1st</t>
  </si>
  <si>
    <t>TREASURER'S REPORT ENDING  October 31st</t>
  </si>
  <si>
    <t>Starting balance October  1st</t>
  </si>
  <si>
    <t>Ending Balance as of October 31st</t>
  </si>
  <si>
    <t>TREASURER'S REPORT ENDING  November 30th</t>
  </si>
  <si>
    <t>Starting balance November  1st</t>
  </si>
  <si>
    <t>TREASURER'S REPORT ENDING  December 31st</t>
  </si>
  <si>
    <t>Starting balance December  1st</t>
  </si>
  <si>
    <t>Ending Balance as of December 31, 2024</t>
  </si>
  <si>
    <t>Ending Balance as of September 30th</t>
  </si>
  <si>
    <t xml:space="preserve">  </t>
  </si>
  <si>
    <t>Bob B.  CAWW seed money</t>
  </si>
  <si>
    <t>Elaine M. (NERD reg., mileage, LDC Conference Summaries)</t>
  </si>
  <si>
    <t>Lisa G. (Area mtg)</t>
  </si>
  <si>
    <t>mileage for Alateen mtg - Elaine</t>
  </si>
  <si>
    <t>Ending Balance as of November 30th</t>
  </si>
  <si>
    <t>$170.05 annual zoom, $25 rent Alateen Sponsor mtg</t>
  </si>
  <si>
    <t xml:space="preserve">check #3185 issued 8/14/17 Kate M. </t>
  </si>
  <si>
    <t>Checks outstanding from 2023:</t>
  </si>
  <si>
    <t>Lisa G. ($170.05 zoom, $11.40 mileage, $25 Alateen 2/9 rent)</t>
  </si>
  <si>
    <t>Bank reconciliation</t>
  </si>
  <si>
    <t>2024</t>
  </si>
  <si>
    <t>$19.80 mileage to LDC, $200 Conference Summary books, $91 NERD reg.</t>
  </si>
  <si>
    <t>$300 * 2 past delegates</t>
  </si>
  <si>
    <t>Elaine NERD - hotel 2 nights</t>
  </si>
  <si>
    <t>$300 past delegate</t>
  </si>
  <si>
    <t>PO Box renewal of $236 and $13.60 stamps</t>
  </si>
  <si>
    <t>Stephanie R. (seed money June Assembly)</t>
  </si>
  <si>
    <t>Gina R. (NERD)</t>
  </si>
  <si>
    <t>Eric B. (PO)</t>
  </si>
  <si>
    <t>Town of Wethersfield (Spring/June Assembly)-deposit</t>
  </si>
  <si>
    <t>Town of Wethersfield (Fall/Nov Assembly)-deposit</t>
  </si>
  <si>
    <t>Town of Wethersfield (Spring/June Assembly)-balance</t>
  </si>
  <si>
    <t>Town of Wethersfield (Fall/Nov Assembly)-balance</t>
  </si>
  <si>
    <t>Gail L. (NERD)</t>
  </si>
  <si>
    <t>Janice R. (BOD, annual report filing fee)</t>
  </si>
  <si>
    <t>Janice R. (mileage Area 3/1)</t>
  </si>
  <si>
    <t>Janice R. (Area mtg)</t>
  </si>
  <si>
    <t>Annual report filing fee</t>
  </si>
  <si>
    <t>Area mtg rent (4)</t>
  </si>
  <si>
    <t>North Haven Congregational Church (9/8/23, 12/1/23, 1/5/24, 3/1/24</t>
  </si>
  <si>
    <t>LDC funding</t>
  </si>
  <si>
    <t>Venue fee</t>
  </si>
  <si>
    <t>Elaine M. ($56.40 NERD mileage, $480 2nd half AMIAS training-Mercy by the Sea)</t>
  </si>
  <si>
    <t>NERD Gina R., Gail L.</t>
  </si>
  <si>
    <t>NERD Elaine M., Kary L., Mary Ann R., Ann B.</t>
  </si>
  <si>
    <t>Kary L. (NERD registration fee via zoom)</t>
  </si>
  <si>
    <t>Mary Ann R. (NERD)</t>
  </si>
  <si>
    <t>Contribution</t>
  </si>
  <si>
    <t>Ann B. (NERD)</t>
  </si>
  <si>
    <t>Lisa G. ($11.40 Area mtg mileage, $25 Alateen Sponsor mtg rent)</t>
  </si>
  <si>
    <t>Convention deposit ($5K seed money, $1,080 profit)</t>
  </si>
  <si>
    <t>Quicktrophy (name badges)</t>
  </si>
  <si>
    <t>debit card</t>
  </si>
  <si>
    <t>Miscellaneous Income - profit from Convention</t>
  </si>
  <si>
    <t>Name badges $61.26 less $8.50 reimb</t>
  </si>
  <si>
    <t>Eric B. (P.O.)</t>
  </si>
  <si>
    <t>2023 PO Budget</t>
  </si>
  <si>
    <t>Zoom Account / Tech</t>
  </si>
  <si>
    <t>Zoom account/tech</t>
  </si>
  <si>
    <t>Vendor-Sharon Stein - Art setup / decals / wristbands / shipping / cards / Alateen mtg schedule / posters</t>
  </si>
  <si>
    <t>$480 2nd half AMIAS training Mercy Center + $25 Alateen Sponsor mtg rent 3/8</t>
  </si>
  <si>
    <t>Seed $2,000, venue fee $958.75</t>
  </si>
  <si>
    <t>see PO tab</t>
  </si>
  <si>
    <t>Convention profit</t>
  </si>
  <si>
    <t>Janice R. (mileage Area 5/3)</t>
  </si>
  <si>
    <t>Elaine M. (WSC expenses)</t>
  </si>
  <si>
    <t>American Screening LLC (background check DR11)</t>
  </si>
  <si>
    <t>The Tax Pro (annual preparation and filing of tax return)</t>
  </si>
  <si>
    <t>WSC expenses</t>
  </si>
  <si>
    <t>background check DR11</t>
  </si>
  <si>
    <t>Tax return preparation &amp; filing fee</t>
  </si>
  <si>
    <t>Badges reimb ($17 Deborah C., $8.50 Jena J.)</t>
  </si>
  <si>
    <t>Justice K. (Area mtg)</t>
  </si>
  <si>
    <t>Justice K. (mileage, registrations, printing)</t>
  </si>
  <si>
    <t>Badge reimb ($8.50 Wendy Q.)</t>
  </si>
  <si>
    <t>Registration Convention, Spring Assembly, mileage</t>
  </si>
  <si>
    <t>Reim badges: $17 Deborah C, $8.50 Jena, $8.50 Wendy Q., new badges order</t>
  </si>
  <si>
    <t>Elaine M. (office supplies, ink)</t>
  </si>
  <si>
    <t>Stephanie R. - AA Soberfest</t>
  </si>
  <si>
    <t>Bridie M. - AA Soberfest speaker</t>
  </si>
  <si>
    <t>Staples (envelopes)</t>
  </si>
  <si>
    <t>US Post Office (stamps)</t>
  </si>
  <si>
    <t>American Screening LLC (background check)</t>
  </si>
  <si>
    <t>Deposit - return of CAWW seed money</t>
  </si>
  <si>
    <t>$31.89 envelopes, $13.60 stamps</t>
  </si>
  <si>
    <t>office supplies &amp; ink</t>
  </si>
  <si>
    <t>Contribution Spring Assembly</t>
  </si>
  <si>
    <t>Name</t>
  </si>
  <si>
    <t>Owed</t>
  </si>
  <si>
    <t>Area exp</t>
  </si>
  <si>
    <t>Position</t>
  </si>
  <si>
    <t>Kate A.</t>
  </si>
  <si>
    <t>Convention Chair</t>
  </si>
  <si>
    <t>Michele M.</t>
  </si>
  <si>
    <t>Convention Co-Chair</t>
  </si>
  <si>
    <t>Deborah C.</t>
  </si>
  <si>
    <t>AMIAS</t>
  </si>
  <si>
    <t>Jackie B.</t>
  </si>
  <si>
    <t>Gina R.</t>
  </si>
  <si>
    <t>CT Alateen P.O. Liaison</t>
  </si>
  <si>
    <t>Ann B.</t>
  </si>
  <si>
    <t>Alateen Coordinator</t>
  </si>
  <si>
    <t>n/a</t>
  </si>
  <si>
    <t>Current badges ordered and received (to be distributed at Sept Area mtg):</t>
  </si>
  <si>
    <t>Badge funds received:  Jackie and Gina $8.50 each, Ann B. move to Alateen Coordinator</t>
  </si>
  <si>
    <t>Patty V. - gift for Rompiendo speakers</t>
  </si>
  <si>
    <t>Carol P. - mileage, zoom and Assembly registration</t>
  </si>
  <si>
    <t>Sheraton Hartford South Hotel-deposit Serenty Breakfast</t>
  </si>
  <si>
    <t>Sheraton Hartford South Hotel-deposit Convention</t>
  </si>
  <si>
    <t>Deposit - return of Assembly Seed money ($2K) + registration, less expenses</t>
  </si>
  <si>
    <t>Ann B. - Alateen Coord - zoom, CAWW reg</t>
  </si>
  <si>
    <t>Ron M. - Convention Seed money</t>
  </si>
  <si>
    <t>Amy D. - Chair Rompiendo event - mileage and admission</t>
  </si>
  <si>
    <t>Trish G. Area Literature Coor - mileage + Assembly fee</t>
  </si>
  <si>
    <t>Katie D. - mileage Assembly, Area mtgs + photo copy</t>
  </si>
  <si>
    <t>Justice K.  Archives - supplies</t>
  </si>
  <si>
    <t>Deposit - CT AFG LDC - in error</t>
  </si>
  <si>
    <t>Deposit - CT AFG LDC - returned deposit</t>
  </si>
  <si>
    <t>Deposit - badges</t>
  </si>
  <si>
    <t>American Screening - background check</t>
  </si>
  <si>
    <t>mileage, zoom, Spring Assembly reg</t>
  </si>
  <si>
    <t>$4K Convention seed money, $500 deposit 2025 Convention, $500 deposit 2025 Serenity Breakfast</t>
  </si>
  <si>
    <t>supplies</t>
  </si>
  <si>
    <t>$8.50 Ann B. name badge, zoom, CAWW reg</t>
  </si>
  <si>
    <t>Katie D. (Area mtg x2, Assembly)</t>
  </si>
  <si>
    <t>photo copies</t>
  </si>
  <si>
    <t>Trish G. (Assembly)</t>
  </si>
  <si>
    <t>Assembly reg</t>
  </si>
  <si>
    <t>Rompiendo - gifts for speakers, mileage, admission</t>
  </si>
  <si>
    <t>Lori A.</t>
  </si>
  <si>
    <t>Gail L.</t>
  </si>
  <si>
    <t>Group Sponsor</t>
  </si>
  <si>
    <t>Lauren L.</t>
  </si>
  <si>
    <t xml:space="preserve">GR </t>
  </si>
  <si>
    <t>Carol P.</t>
  </si>
  <si>
    <t>Jenn L.</t>
  </si>
  <si>
    <t>Alt DR 9</t>
  </si>
  <si>
    <t>Stephanie S. (4 Area mtgs, 1 Assembly, 1 Area Planning mtg)</t>
  </si>
  <si>
    <t>Stephanie S. (mileage-4 Area mtgs, 1 Assembly, 1 Area Planning)</t>
  </si>
  <si>
    <t>PAGE #6</t>
  </si>
  <si>
    <t>Badge - Carol P.</t>
  </si>
  <si>
    <t>(for monies owed, please bring $8.50 to Area mtg on 9/6/24)</t>
  </si>
  <si>
    <t>Rent- North Haven Congregational Church (5/1/24, 9/6/24)</t>
  </si>
  <si>
    <t>name badges (Lori A., Gail L., Lauren L., Jenn L.)+shipping</t>
  </si>
  <si>
    <t>rent 5/1 and 9/6 ($25 each)</t>
  </si>
  <si>
    <t>Peter K. (mileage, candy)</t>
  </si>
  <si>
    <t>Kathe L - PO tablecloth</t>
  </si>
  <si>
    <t>Sharon Stein - QTIPS, decals</t>
  </si>
  <si>
    <t>Vendor-Sharon Stein / other - Art setup / decals / wristbands / shipping / cards / Alateen mtg schedule / posters</t>
  </si>
  <si>
    <t>Fortune cookies / candies</t>
  </si>
  <si>
    <t>As of 10/31/2024</t>
  </si>
  <si>
    <t>Jackie B. (mileage)</t>
  </si>
  <si>
    <t>Elaine M. (mileage, Microsoft lic, Adobe sub)</t>
  </si>
  <si>
    <t>Janine G. (AA events-speaker gifts, pizza, supplies, mileage)</t>
  </si>
  <si>
    <t>Marcia M. (AA event - keynote speaker - mileage &amp; reg)</t>
  </si>
  <si>
    <t>Town of Wethersfield (deposit Spring Assembly)</t>
  </si>
  <si>
    <t>Martha Y. (AA event - speaker, mileage, reg, hotel)</t>
  </si>
  <si>
    <t>Kathe L. (PO tablecloth)</t>
  </si>
  <si>
    <t>Sharon Stein (PO - Q-Tips, decals)</t>
  </si>
  <si>
    <t>American Screening (one background check - multiple states)</t>
  </si>
  <si>
    <t>American Screening (one background check)</t>
  </si>
  <si>
    <t>ACH</t>
  </si>
  <si>
    <t>Nonprofits Insurance Alliance (annual insurance)-1/3 LDC reimb</t>
  </si>
  <si>
    <t>LDC - funding</t>
  </si>
  <si>
    <t>Quicken annual fee</t>
  </si>
  <si>
    <t>Quicken annual cloud backup fee</t>
  </si>
  <si>
    <t>Quicktrophy (name badge - Shelly M. - Convention Co-Chair)</t>
  </si>
  <si>
    <t>Quicktrophy (name badge - Carol D. - Board of Directors)</t>
  </si>
  <si>
    <t>District 1 AFG - seed money Fall Assembly</t>
  </si>
  <si>
    <t>Elaine M. (50 Confernce Summaries + fees)</t>
  </si>
  <si>
    <t>Carol D.</t>
  </si>
  <si>
    <t>wrong last initial-re-order</t>
  </si>
  <si>
    <t>changed first name</t>
  </si>
  <si>
    <t>Shelly M.</t>
  </si>
  <si>
    <t>3 Background checks ($194 + $466 + $194) - second multiple states</t>
  </si>
  <si>
    <t>Jackie B. (Area, Assembly)</t>
  </si>
  <si>
    <t>Elaine M. (Area, Agenda)</t>
  </si>
  <si>
    <t>mileage to a district meeting, Microsoft, Adobe</t>
  </si>
  <si>
    <t>USPS - stamps (Area Treasurer expense)</t>
  </si>
  <si>
    <t>stamps</t>
  </si>
  <si>
    <t>deposit Spring 2025 Assembly</t>
  </si>
  <si>
    <t>deposit Fall 2025 Assembly</t>
  </si>
  <si>
    <t>PO - Peter K. (reissued #4023 Peter K.)</t>
  </si>
  <si>
    <t>Eric B. (Assembly, Area)</t>
  </si>
  <si>
    <t>Candy, Cookies, Pens (includes shipping)</t>
  </si>
  <si>
    <t>As of October 31, 2024</t>
  </si>
  <si>
    <t>annual fees:  Quicken + backup + 2 badges (reissued)</t>
  </si>
  <si>
    <t>LDC $3K(+), NERD $2K(+),Delegate $1K(+),PO $800(-)</t>
  </si>
  <si>
    <t>reissued - spelled incorrectly</t>
  </si>
  <si>
    <t>reissued - nickname</t>
  </si>
  <si>
    <t>American Screening</t>
  </si>
  <si>
    <t>Jennifer L. (PO mileage - supplies to Soberfest)</t>
  </si>
  <si>
    <t>AA Convention</t>
  </si>
  <si>
    <t>moved name badges to "Misc"</t>
  </si>
  <si>
    <t>one background check</t>
  </si>
  <si>
    <t>Jennifer L.</t>
  </si>
  <si>
    <t>replenishment of funds</t>
  </si>
  <si>
    <t>Conference summaries</t>
  </si>
  <si>
    <t>seed money</t>
  </si>
  <si>
    <t>Deposit of $804 in November for LDC 1/3 reimb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</si>
</sst>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_);[Red]\(&quot;$&quot;#,##0.00\)"/>
    <numFmt numFmtId="44" formatCode="_(&quot;$&quot;* #,##0.00_);_(&quot;$&quot;* \(#,##0.00\);_(&quot;$&quot;* &quot;-&quot;??_);_(@_)"/>
    <numFmt numFmtId="43" formatCode="_(* #,##0.00_);_(* \(#,##0.00\);_(* &quot;-&quot;??_);_(@_)"/>
    <numFmt numFmtId="164" formatCode="mm/dd/yy"/>
    <numFmt numFmtId="165" formatCode="&quot; &quot;* #,##0.00&quot; &quot;;&quot; &quot;* \(#,##0.00\);&quot; &quot;* &quot;-&quot;??&quot; &quot;"/>
    <numFmt numFmtId="166" formatCode="mm/dd/yy;@"/>
    <numFmt numFmtId="167" formatCode="_(* #,##0.0_);_(* \(#,##0.0\);_(* &quot;-&quot;??_);_(@_)"/>
  </numFmts>
  <fonts count="41" x14ac:knownFonts="1">
    <font>
      <sz val="11"/>
      <color theme="1"/>
      <name val="Calibri"/>
      <family val="2"/>
      <scheme val="minor"/>
    </font>
    <font>
      <sz val="11"/>
      <color indexed="8"/>
      <name val="Calibri"/>
      <family val="2"/>
    </font>
    <font>
      <sz val="10"/>
      <name val="Arial"/>
      <family val="2"/>
    </font>
    <font>
      <b/>
      <sz val="11"/>
      <color indexed="8"/>
      <name val="Calibri"/>
      <family val="2"/>
    </font>
    <font>
      <b/>
      <sz val="10"/>
      <name val="Arial"/>
      <family val="2"/>
    </font>
    <font>
      <sz val="10"/>
      <color indexed="8"/>
      <name val="Calibri"/>
      <family val="2"/>
    </font>
    <font>
      <b/>
      <u val="singleAccounting"/>
      <sz val="10"/>
      <name val="Arial"/>
      <family val="2"/>
    </font>
    <font>
      <sz val="11"/>
      <color theme="1"/>
      <name val="Calibri"/>
      <family val="2"/>
      <scheme val="minor"/>
    </font>
    <font>
      <u val="singleAccounting"/>
      <sz val="10"/>
      <name val="Arial"/>
      <family val="2"/>
    </font>
    <font>
      <b/>
      <sz val="10"/>
      <color indexed="8"/>
      <name val="Arial"/>
      <family val="2"/>
    </font>
    <font>
      <sz val="10"/>
      <color indexed="8"/>
      <name val="Arial"/>
      <family val="2"/>
    </font>
    <font>
      <b/>
      <sz val="11"/>
      <color rgb="FF00B050"/>
      <name val="Calibri"/>
      <family val="2"/>
      <scheme val="minor"/>
    </font>
    <font>
      <b/>
      <sz val="10"/>
      <color rgb="FF00B050"/>
      <name val="Arial"/>
      <family val="2"/>
    </font>
    <font>
      <b/>
      <sz val="10"/>
      <color rgb="FFFF0000"/>
      <name val="Arial"/>
      <family val="2"/>
    </font>
    <font>
      <b/>
      <sz val="12"/>
      <color rgb="FF0070C0"/>
      <name val="Arial"/>
      <family val="2"/>
    </font>
    <font>
      <b/>
      <sz val="10"/>
      <color theme="1"/>
      <name val="Arial"/>
      <family val="2"/>
    </font>
    <font>
      <u val="singleAccounting"/>
      <sz val="10"/>
      <color theme="1"/>
      <name val="Arial"/>
      <family val="2"/>
    </font>
    <font>
      <sz val="10"/>
      <color theme="1"/>
      <name val="Arial"/>
      <family val="2"/>
    </font>
    <font>
      <b/>
      <u/>
      <sz val="12"/>
      <color rgb="FF00B050"/>
      <name val="Arial"/>
      <family val="2"/>
    </font>
    <font>
      <b/>
      <u/>
      <sz val="12"/>
      <color rgb="FFFF0000"/>
      <name val="Arial"/>
      <family val="2"/>
    </font>
    <font>
      <sz val="12"/>
      <color theme="1"/>
      <name val="Calibri"/>
      <family val="2"/>
      <scheme val="minor"/>
    </font>
    <font>
      <sz val="11"/>
      <color indexed="8"/>
      <name val="Arial"/>
      <family val="2"/>
    </font>
    <font>
      <b/>
      <u/>
      <sz val="16"/>
      <color indexed="8"/>
      <name val="Calibri"/>
      <family val="2"/>
    </font>
    <font>
      <u/>
      <sz val="11"/>
      <color indexed="8"/>
      <name val="Calibri"/>
      <family val="2"/>
    </font>
    <font>
      <b/>
      <u/>
      <sz val="11"/>
      <color theme="1"/>
      <name val="Calibri"/>
      <family val="2"/>
      <scheme val="minor"/>
    </font>
    <font>
      <sz val="11"/>
      <color theme="1"/>
      <name val="Arial"/>
      <family val="2"/>
    </font>
    <font>
      <b/>
      <u/>
      <sz val="10"/>
      <name val="Arial"/>
      <family val="2"/>
    </font>
    <font>
      <b/>
      <u/>
      <sz val="14"/>
      <name val="Arial"/>
      <family val="2"/>
    </font>
    <font>
      <u/>
      <sz val="11"/>
      <color theme="1"/>
      <name val="Calibri"/>
      <family val="2"/>
      <scheme val="minor"/>
    </font>
    <font>
      <b/>
      <sz val="18"/>
      <color theme="1"/>
      <name val="Calibri"/>
      <family val="2"/>
      <scheme val="minor"/>
    </font>
    <font>
      <b/>
      <u val="singleAccounting"/>
      <sz val="11"/>
      <color theme="1"/>
      <name val="Calibri"/>
      <family val="2"/>
      <scheme val="minor"/>
    </font>
    <font>
      <b/>
      <sz val="11"/>
      <name val="Calibri"/>
      <family val="2"/>
      <scheme val="minor"/>
    </font>
    <font>
      <b/>
      <sz val="11"/>
      <color theme="1"/>
      <name val="Calibri"/>
      <family val="2"/>
      <scheme val="minor"/>
    </font>
    <font>
      <sz val="9"/>
      <color indexed="81"/>
      <name val="Tahoma"/>
      <family val="2"/>
    </font>
    <font>
      <b/>
      <sz val="9"/>
      <color indexed="81"/>
      <name val="Tahoma"/>
      <family val="2"/>
    </font>
    <font>
      <u val="singleAccounting"/>
      <sz val="11"/>
      <color indexed="8"/>
      <name val="Calibri"/>
      <family val="2"/>
    </font>
    <font>
      <sz val="10"/>
      <color rgb="FFFF0000"/>
      <name val="Arial"/>
      <family val="2"/>
    </font>
    <font>
      <sz val="11"/>
      <color rgb="FFFF0000"/>
      <name val="Calibri"/>
      <family val="2"/>
      <scheme val="minor"/>
    </font>
    <font>
      <strike/>
      <sz val="11"/>
      <color theme="1"/>
      <name val="Calibri"/>
      <family val="2"/>
      <scheme val="minor"/>
    </font>
    <font>
      <sz val="9"/>
      <color indexed="81"/>
      <name val="Tahoma"/>
      <charset val="1"/>
    </font>
    <font>
      <b/>
      <sz val="9"/>
      <color indexed="81"/>
      <name val="Tahoma"/>
      <charset val="1"/>
    </font>
  </fonts>
  <fills count="18">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3" tint="0.59999389629810485"/>
        <bgColor indexed="64"/>
      </patternFill>
    </fill>
    <fill>
      <patternFill patternType="solid">
        <fgColor theme="1"/>
        <bgColor indexed="64"/>
      </patternFill>
    </fill>
    <fill>
      <patternFill patternType="solid">
        <fgColor indexed="9"/>
        <bgColor auto="1"/>
      </patternFill>
    </fill>
    <fill>
      <patternFill patternType="solid">
        <fgColor theme="4" tint="0.59999389629810485"/>
        <bgColor indexed="64"/>
      </patternFill>
    </fill>
    <fill>
      <patternFill patternType="solid">
        <fgColor rgb="FFFFFF00"/>
        <bgColor indexed="64"/>
      </patternFill>
    </fill>
    <fill>
      <patternFill patternType="solid">
        <fgColor theme="0" tint="-4.9989318521683403E-2"/>
        <bgColor indexed="64"/>
      </patternFill>
    </fill>
  </fills>
  <borders count="40">
    <border>
      <left/>
      <right/>
      <top/>
      <bottom/>
      <diagonal/>
    </border>
    <border>
      <left/>
      <right/>
      <top/>
      <bottom style="medium">
        <color indexed="0"/>
      </bottom>
      <diagonal/>
    </border>
    <border>
      <left/>
      <right/>
      <top/>
      <bottom style="thin">
        <color indexed="0"/>
      </bottom>
      <diagonal/>
    </border>
    <border>
      <left style="thin">
        <color indexed="0"/>
      </left>
      <right style="thin">
        <color indexed="0"/>
      </right>
      <top style="thin">
        <color indexed="0"/>
      </top>
      <bottom style="thin">
        <color indexed="0"/>
      </bottom>
      <diagonal/>
    </border>
    <border>
      <left/>
      <right/>
      <top/>
      <bottom style="double">
        <color indexed="0"/>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medium">
        <color indexed="64"/>
      </top>
      <bottom style="thin">
        <color indexed="64"/>
      </bottom>
      <diagonal/>
    </border>
    <border>
      <left/>
      <right/>
      <top style="thin">
        <color indexed="64"/>
      </top>
      <bottom style="double">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0"/>
      </left>
      <right/>
      <top style="thin">
        <color indexed="0"/>
      </top>
      <bottom style="thin">
        <color indexed="0"/>
      </bottom>
      <diagonal/>
    </border>
    <border>
      <left/>
      <right style="thin">
        <color indexed="64"/>
      </right>
      <top style="thin">
        <color indexed="64"/>
      </top>
      <bottom/>
      <diagonal/>
    </border>
    <border>
      <left style="medium">
        <color indexed="64"/>
      </left>
      <right/>
      <top style="thin">
        <color indexed="64"/>
      </top>
      <bottom/>
      <diagonal/>
    </border>
    <border>
      <left style="thin">
        <color indexed="0"/>
      </left>
      <right style="thin">
        <color indexed="0"/>
      </right>
      <top style="thin">
        <color indexed="0"/>
      </top>
      <bottom/>
      <diagonal/>
    </border>
    <border>
      <left style="thin">
        <color indexed="0"/>
      </left>
      <right style="thin">
        <color indexed="0"/>
      </right>
      <top/>
      <bottom style="thin">
        <color indexed="0"/>
      </bottom>
      <diagonal/>
    </border>
    <border>
      <left/>
      <right style="medium">
        <color indexed="64"/>
      </right>
      <top style="medium">
        <color indexed="64"/>
      </top>
      <bottom style="medium">
        <color indexed="64"/>
      </bottom>
      <diagonal/>
    </border>
    <border>
      <left/>
      <right/>
      <top/>
      <bottom style="double">
        <color indexed="64"/>
      </bottom>
      <diagonal/>
    </border>
    <border>
      <left style="thin">
        <color indexed="0"/>
      </left>
      <right style="thin">
        <color indexed="64"/>
      </right>
      <top style="thin">
        <color indexed="0"/>
      </top>
      <bottom style="thin">
        <color indexed="0"/>
      </bottom>
      <diagonal/>
    </border>
  </borders>
  <cellStyleXfs count="8">
    <xf numFmtId="0" fontId="0" fillId="0" borderId="0"/>
    <xf numFmtId="0" fontId="1" fillId="0" borderId="0"/>
    <xf numFmtId="43" fontId="7" fillId="0" borderId="0" applyFont="0" applyFill="0" applyBorder="0" applyAlignment="0" applyProtection="0"/>
    <xf numFmtId="44" fontId="7" fillId="0" borderId="0" applyFont="0" applyFill="0" applyBorder="0" applyAlignment="0" applyProtection="0"/>
    <xf numFmtId="0" fontId="20" fillId="0" borderId="0"/>
    <xf numFmtId="0" fontId="21" fillId="0" borderId="0" applyNumberFormat="0" applyFill="0" applyBorder="0" applyProtection="0"/>
    <xf numFmtId="43" fontId="21" fillId="0" borderId="0" applyFont="0" applyFill="0" applyBorder="0" applyAlignment="0" applyProtection="0"/>
    <xf numFmtId="9" fontId="7" fillId="0" borderId="0" applyFont="0" applyFill="0" applyBorder="0" applyAlignment="0" applyProtection="0"/>
  </cellStyleXfs>
  <cellXfs count="260">
    <xf numFmtId="0" fontId="0" fillId="0" borderId="0" xfId="0"/>
    <xf numFmtId="0" fontId="2" fillId="0" borderId="0" xfId="1" applyFont="1"/>
    <xf numFmtId="0" fontId="1" fillId="0" borderId="0" xfId="1"/>
    <xf numFmtId="0" fontId="1" fillId="0" borderId="0" xfId="1" applyAlignment="1">
      <alignment horizontal="center"/>
    </xf>
    <xf numFmtId="0" fontId="3" fillId="0" borderId="0" xfId="1" applyFont="1"/>
    <xf numFmtId="14" fontId="1" fillId="0" borderId="0" xfId="1" applyNumberFormat="1"/>
    <xf numFmtId="4" fontId="2" fillId="0" borderId="0" xfId="1" applyNumberFormat="1" applyFont="1" applyAlignment="1">
      <alignment horizontal="center"/>
    </xf>
    <xf numFmtId="43" fontId="1" fillId="0" borderId="0" xfId="1" applyNumberFormat="1"/>
    <xf numFmtId="0" fontId="4" fillId="0" borderId="1" xfId="1" applyFont="1" applyBorder="1"/>
    <xf numFmtId="8" fontId="4" fillId="0" borderId="2" xfId="1" applyNumberFormat="1" applyFont="1" applyBorder="1"/>
    <xf numFmtId="0" fontId="4" fillId="0" borderId="0" xfId="1" applyFont="1" applyAlignment="1">
      <alignment horizontal="center"/>
    </xf>
    <xf numFmtId="0" fontId="2" fillId="0" borderId="3" xfId="1" applyFont="1" applyBorder="1"/>
    <xf numFmtId="43" fontId="5" fillId="0" borderId="3" xfId="1" applyNumberFormat="1" applyFont="1" applyBorder="1"/>
    <xf numFmtId="0" fontId="4" fillId="0" borderId="3" xfId="1" applyFont="1" applyBorder="1" applyAlignment="1">
      <alignment horizontal="right"/>
    </xf>
    <xf numFmtId="43" fontId="5" fillId="0" borderId="3" xfId="1" applyNumberFormat="1" applyFont="1" applyBorder="1" applyAlignment="1">
      <alignment horizontal="right"/>
    </xf>
    <xf numFmtId="44" fontId="6" fillId="0" borderId="2" xfId="1" applyNumberFormat="1" applyFont="1" applyBorder="1" applyAlignment="1">
      <alignment horizontal="center"/>
    </xf>
    <xf numFmtId="43" fontId="2" fillId="0" borderId="0" xfId="1" applyNumberFormat="1" applyFont="1" applyAlignment="1">
      <alignment horizontal="center"/>
    </xf>
    <xf numFmtId="43" fontId="1" fillId="0" borderId="3" xfId="1" applyNumberFormat="1" applyBorder="1"/>
    <xf numFmtId="0" fontId="4" fillId="0" borderId="0" xfId="1" applyFont="1"/>
    <xf numFmtId="0" fontId="3" fillId="0" borderId="3" xfId="1" applyFont="1" applyBorder="1" applyAlignment="1">
      <alignment horizontal="right"/>
    </xf>
    <xf numFmtId="44" fontId="6" fillId="0" borderId="3" xfId="1" applyNumberFormat="1" applyFont="1" applyBorder="1" applyAlignment="1">
      <alignment horizontal="center"/>
    </xf>
    <xf numFmtId="8" fontId="3" fillId="0" borderId="4" xfId="1" applyNumberFormat="1" applyFont="1" applyBorder="1"/>
    <xf numFmtId="17" fontId="1" fillId="0" borderId="0" xfId="1" applyNumberFormat="1"/>
    <xf numFmtId="15" fontId="0" fillId="0" borderId="0" xfId="0" applyNumberFormat="1"/>
    <xf numFmtId="43" fontId="1" fillId="0" borderId="0" xfId="1" quotePrefix="1" applyNumberFormat="1"/>
    <xf numFmtId="0" fontId="2" fillId="0" borderId="5" xfId="0" applyFont="1" applyBorder="1"/>
    <xf numFmtId="0" fontId="2" fillId="0" borderId="0" xfId="0" applyFont="1"/>
    <xf numFmtId="0" fontId="4" fillId="2" borderId="0" xfId="1" applyFont="1" applyFill="1"/>
    <xf numFmtId="43" fontId="1" fillId="2" borderId="3" xfId="1" applyNumberFormat="1" applyFill="1" applyBorder="1"/>
    <xf numFmtId="4" fontId="2" fillId="0" borderId="0" xfId="0" applyNumberFormat="1" applyFont="1" applyAlignment="1">
      <alignment horizontal="center"/>
    </xf>
    <xf numFmtId="4" fontId="8" fillId="0" borderId="0" xfId="0" applyNumberFormat="1" applyFont="1" applyAlignment="1">
      <alignment horizontal="center"/>
    </xf>
    <xf numFmtId="43" fontId="9" fillId="0" borderId="0" xfId="0" applyNumberFormat="1" applyFont="1" applyAlignment="1">
      <alignment horizontal="center"/>
    </xf>
    <xf numFmtId="0" fontId="9" fillId="0" borderId="0" xfId="0" applyFont="1" applyAlignment="1">
      <alignment horizontal="center"/>
    </xf>
    <xf numFmtId="4" fontId="4" fillId="0" borderId="0" xfId="0" applyNumberFormat="1" applyFont="1" applyAlignment="1">
      <alignment horizontal="center"/>
    </xf>
    <xf numFmtId="43" fontId="9" fillId="0" borderId="0" xfId="0" quotePrefix="1" applyNumberFormat="1" applyFont="1" applyAlignment="1">
      <alignment horizontal="center"/>
    </xf>
    <xf numFmtId="43" fontId="9" fillId="0" borderId="0" xfId="0" applyNumberFormat="1" applyFont="1"/>
    <xf numFmtId="43" fontId="10" fillId="0" borderId="0" xfId="0" applyNumberFormat="1" applyFont="1"/>
    <xf numFmtId="43" fontId="0" fillId="0" borderId="0" xfId="0" applyNumberFormat="1"/>
    <xf numFmtId="8" fontId="11" fillId="3" borderId="6" xfId="0" applyNumberFormat="1" applyFont="1" applyFill="1" applyBorder="1"/>
    <xf numFmtId="0" fontId="0" fillId="3" borderId="7" xfId="0" applyFill="1" applyBorder="1"/>
    <xf numFmtId="4" fontId="2" fillId="3" borderId="7" xfId="0" applyNumberFormat="1" applyFont="1" applyFill="1" applyBorder="1" applyAlignment="1">
      <alignment horizontal="center"/>
    </xf>
    <xf numFmtId="0" fontId="12" fillId="3" borderId="8" xfId="0" applyFont="1" applyFill="1" applyBorder="1"/>
    <xf numFmtId="0" fontId="0" fillId="0" borderId="0" xfId="0" applyAlignment="1">
      <alignment vertical="center"/>
    </xf>
    <xf numFmtId="0" fontId="9" fillId="0" borderId="0" xfId="0" applyFont="1" applyAlignment="1">
      <alignment vertical="center"/>
    </xf>
    <xf numFmtId="43" fontId="9" fillId="0" borderId="0" xfId="0" applyNumberFormat="1" applyFont="1" applyAlignment="1">
      <alignment vertical="center"/>
    </xf>
    <xf numFmtId="43" fontId="9" fillId="0" borderId="10" xfId="0" applyNumberFormat="1" applyFont="1" applyBorder="1" applyAlignment="1">
      <alignment vertical="center"/>
    </xf>
    <xf numFmtId="43" fontId="9" fillId="5" borderId="11" xfId="0" applyNumberFormat="1" applyFont="1" applyFill="1" applyBorder="1" applyAlignment="1">
      <alignment vertical="center"/>
    </xf>
    <xf numFmtId="43" fontId="9" fillId="4" borderId="11" xfId="0" applyNumberFormat="1" applyFont="1" applyFill="1" applyBorder="1" applyAlignment="1">
      <alignment vertical="center"/>
    </xf>
    <xf numFmtId="43" fontId="9" fillId="0" borderId="11" xfId="0" applyNumberFormat="1" applyFont="1" applyBorder="1" applyAlignment="1">
      <alignment vertical="center"/>
    </xf>
    <xf numFmtId="4" fontId="4" fillId="0" borderId="12" xfId="0" applyNumberFormat="1" applyFont="1" applyBorder="1" applyAlignment="1">
      <alignment vertical="center"/>
    </xf>
    <xf numFmtId="0" fontId="9" fillId="0" borderId="0" xfId="0" applyFont="1"/>
    <xf numFmtId="43" fontId="9" fillId="6" borderId="14" xfId="0" applyNumberFormat="1" applyFont="1" applyFill="1" applyBorder="1"/>
    <xf numFmtId="43" fontId="9" fillId="6" borderId="15" xfId="0" applyNumberFormat="1" applyFont="1" applyFill="1" applyBorder="1"/>
    <xf numFmtId="43" fontId="4" fillId="6" borderId="15" xfId="0" applyNumberFormat="1" applyFont="1" applyFill="1" applyBorder="1" applyAlignment="1">
      <alignment horizontal="center"/>
    </xf>
    <xf numFmtId="0" fontId="13" fillId="0" borderId="5" xfId="0" applyFont="1" applyBorder="1"/>
    <xf numFmtId="43" fontId="4" fillId="7" borderId="14" xfId="0" applyNumberFormat="1" applyFont="1" applyFill="1" applyBorder="1" applyAlignment="1">
      <alignment horizontal="center"/>
    </xf>
    <xf numFmtId="43" fontId="4" fillId="7" borderId="15" xfId="0" applyNumberFormat="1" applyFont="1" applyFill="1" applyBorder="1" applyAlignment="1">
      <alignment horizontal="center"/>
    </xf>
    <xf numFmtId="0" fontId="12" fillId="0" borderId="5" xfId="0" applyFont="1" applyBorder="1"/>
    <xf numFmtId="0" fontId="10" fillId="0" borderId="0" xfId="0" applyFont="1"/>
    <xf numFmtId="43" fontId="10" fillId="0" borderId="13" xfId="0" applyNumberFormat="1" applyFont="1" applyBorder="1"/>
    <xf numFmtId="43" fontId="10" fillId="0" borderId="14" xfId="0" applyNumberFormat="1" applyFont="1" applyBorder="1"/>
    <xf numFmtId="43" fontId="9" fillId="5" borderId="15" xfId="0" applyNumberFormat="1" applyFont="1" applyFill="1" applyBorder="1"/>
    <xf numFmtId="43" fontId="10" fillId="8" borderId="15" xfId="2" applyFont="1" applyFill="1" applyBorder="1"/>
    <xf numFmtId="43" fontId="2" fillId="0" borderId="15" xfId="0" applyNumberFormat="1" applyFont="1" applyBorder="1" applyAlignment="1">
      <alignment horizontal="center"/>
    </xf>
    <xf numFmtId="0" fontId="14" fillId="6" borderId="5" xfId="0" applyFont="1" applyFill="1" applyBorder="1"/>
    <xf numFmtId="43" fontId="2" fillId="0" borderId="5" xfId="0" applyNumberFormat="1" applyFont="1" applyBorder="1"/>
    <xf numFmtId="0" fontId="4" fillId="0" borderId="5" xfId="0" applyFont="1" applyBorder="1" applyAlignment="1">
      <alignment horizontal="right"/>
    </xf>
    <xf numFmtId="43" fontId="10" fillId="5" borderId="15" xfId="0" applyNumberFormat="1" applyFont="1" applyFill="1" applyBorder="1"/>
    <xf numFmtId="0" fontId="0" fillId="0" borderId="13" xfId="0" applyBorder="1"/>
    <xf numFmtId="43" fontId="15" fillId="0" borderId="15" xfId="0" applyNumberFormat="1" applyFont="1" applyBorder="1"/>
    <xf numFmtId="0" fontId="4" fillId="0" borderId="5" xfId="0" applyFont="1" applyBorder="1"/>
    <xf numFmtId="43" fontId="16" fillId="0" borderId="15" xfId="0" applyNumberFormat="1" applyFont="1" applyBorder="1"/>
    <xf numFmtId="43" fontId="17" fillId="0" borderId="15" xfId="0" applyNumberFormat="1" applyFont="1" applyBorder="1"/>
    <xf numFmtId="0" fontId="2" fillId="0" borderId="5" xfId="0" quotePrefix="1" applyFont="1" applyBorder="1"/>
    <xf numFmtId="0" fontId="2" fillId="0" borderId="16" xfId="0" quotePrefix="1" applyFont="1" applyBorder="1"/>
    <xf numFmtId="43" fontId="10" fillId="9" borderId="13" xfId="0" applyNumberFormat="1" applyFont="1" applyFill="1" applyBorder="1"/>
    <xf numFmtId="4" fontId="10" fillId="9" borderId="13" xfId="0" applyNumberFormat="1" applyFont="1" applyFill="1" applyBorder="1"/>
    <xf numFmtId="43" fontId="10" fillId="9" borderId="14" xfId="0" applyNumberFormat="1" applyFont="1" applyFill="1" applyBorder="1"/>
    <xf numFmtId="43" fontId="10" fillId="9" borderId="15" xfId="0" applyNumberFormat="1" applyFont="1" applyFill="1" applyBorder="1"/>
    <xf numFmtId="43" fontId="10" fillId="9" borderId="15" xfId="2" applyFont="1" applyFill="1" applyBorder="1"/>
    <xf numFmtId="43" fontId="17" fillId="9" borderId="15" xfId="0" applyNumberFormat="1" applyFont="1" applyFill="1" applyBorder="1"/>
    <xf numFmtId="0" fontId="4" fillId="2" borderId="5" xfId="0" applyFont="1" applyFill="1" applyBorder="1"/>
    <xf numFmtId="0" fontId="2" fillId="0" borderId="17" xfId="0" applyFont="1" applyBorder="1"/>
    <xf numFmtId="43" fontId="17" fillId="5" borderId="15" xfId="2" applyFont="1" applyFill="1" applyBorder="1"/>
    <xf numFmtId="43" fontId="10" fillId="5" borderId="18" xfId="0" applyNumberFormat="1" applyFont="1" applyFill="1" applyBorder="1"/>
    <xf numFmtId="43" fontId="10" fillId="8" borderId="18" xfId="0" applyNumberFormat="1" applyFont="1" applyFill="1" applyBorder="1"/>
    <xf numFmtId="4" fontId="2" fillId="0" borderId="18" xfId="0" applyNumberFormat="1" applyFont="1" applyBorder="1" applyAlignment="1">
      <alignment horizontal="center"/>
    </xf>
    <xf numFmtId="0" fontId="18" fillId="0" borderId="0" xfId="0" applyFont="1"/>
    <xf numFmtId="0" fontId="9" fillId="6" borderId="13" xfId="0" applyFont="1" applyFill="1" applyBorder="1" applyAlignment="1">
      <alignment horizontal="center" vertical="center"/>
    </xf>
    <xf numFmtId="0" fontId="9" fillId="6" borderId="14" xfId="0" applyFont="1" applyFill="1" applyBorder="1" applyAlignment="1">
      <alignment horizontal="center" vertical="center"/>
    </xf>
    <xf numFmtId="0" fontId="9" fillId="5" borderId="19" xfId="0" applyFont="1" applyFill="1" applyBorder="1" applyAlignment="1">
      <alignment horizontal="center" vertical="center" wrapText="1"/>
    </xf>
    <xf numFmtId="0" fontId="9" fillId="8" borderId="19" xfId="0" applyFont="1" applyFill="1" applyBorder="1" applyAlignment="1">
      <alignment horizontal="center" vertical="center" wrapText="1"/>
    </xf>
    <xf numFmtId="0" fontId="9" fillId="9" borderId="19" xfId="0" applyFont="1" applyFill="1" applyBorder="1" applyAlignment="1">
      <alignment horizontal="center" vertical="center" wrapText="1"/>
    </xf>
    <xf numFmtId="43" fontId="10" fillId="0" borderId="0" xfId="0" applyNumberFormat="1" applyFont="1" applyAlignment="1">
      <alignment horizontal="center"/>
    </xf>
    <xf numFmtId="43" fontId="15" fillId="12" borderId="9" xfId="2" applyFont="1" applyFill="1" applyBorder="1" applyAlignment="1">
      <alignment vertical="center"/>
    </xf>
    <xf numFmtId="43" fontId="15" fillId="12" borderId="10" xfId="2" applyFont="1" applyFill="1" applyBorder="1" applyAlignment="1">
      <alignment vertical="center"/>
    </xf>
    <xf numFmtId="43" fontId="15" fillId="12" borderId="11" xfId="2" applyFont="1" applyFill="1" applyBorder="1" applyAlignment="1">
      <alignment vertical="center"/>
    </xf>
    <xf numFmtId="0" fontId="4" fillId="12" borderId="12" xfId="0" applyFont="1" applyFill="1" applyBorder="1" applyAlignment="1">
      <alignment horizontal="right" vertical="center"/>
    </xf>
    <xf numFmtId="43" fontId="15" fillId="13" borderId="13" xfId="2" applyFont="1" applyFill="1" applyBorder="1"/>
    <xf numFmtId="43" fontId="17" fillId="13" borderId="23" xfId="2" applyFont="1" applyFill="1" applyBorder="1"/>
    <xf numFmtId="43" fontId="10" fillId="13" borderId="15" xfId="2" applyFont="1" applyFill="1" applyBorder="1"/>
    <xf numFmtId="43" fontId="15" fillId="13" borderId="15" xfId="2" applyFont="1" applyFill="1" applyBorder="1"/>
    <xf numFmtId="0" fontId="2" fillId="13" borderId="5" xfId="0" applyFont="1" applyFill="1" applyBorder="1"/>
    <xf numFmtId="43" fontId="15" fillId="6" borderId="14" xfId="2" applyFont="1" applyFill="1" applyBorder="1"/>
    <xf numFmtId="43" fontId="15" fillId="6" borderId="24" xfId="2" applyFont="1" applyFill="1" applyBorder="1"/>
    <xf numFmtId="43" fontId="15" fillId="6" borderId="15" xfId="2" applyFont="1" applyFill="1" applyBorder="1"/>
    <xf numFmtId="0" fontId="4" fillId="6" borderId="5" xfId="0" applyFont="1" applyFill="1" applyBorder="1" applyAlignment="1">
      <alignment horizontal="right"/>
    </xf>
    <xf numFmtId="43" fontId="10" fillId="0" borderId="13" xfId="2" applyFont="1" applyBorder="1"/>
    <xf numFmtId="43" fontId="17" fillId="0" borderId="14" xfId="2" applyFont="1" applyBorder="1"/>
    <xf numFmtId="43" fontId="17" fillId="5" borderId="25" xfId="2" applyFont="1" applyFill="1" applyBorder="1"/>
    <xf numFmtId="43" fontId="17" fillId="0" borderId="15" xfId="2" applyFont="1" applyBorder="1"/>
    <xf numFmtId="43" fontId="15" fillId="6" borderId="25" xfId="2" applyFont="1" applyFill="1" applyBorder="1"/>
    <xf numFmtId="0" fontId="15" fillId="5" borderId="26" xfId="0" applyFont="1" applyFill="1" applyBorder="1"/>
    <xf numFmtId="0" fontId="15" fillId="8" borderId="18" xfId="0" applyFont="1" applyFill="1" applyBorder="1"/>
    <xf numFmtId="43" fontId="4" fillId="0" borderId="18" xfId="0" applyNumberFormat="1" applyFont="1" applyBorder="1" applyAlignment="1">
      <alignment horizontal="center"/>
    </xf>
    <xf numFmtId="0" fontId="19" fillId="0" borderId="0" xfId="0" applyFont="1"/>
    <xf numFmtId="0" fontId="9" fillId="5" borderId="27" xfId="0" applyFont="1" applyFill="1" applyBorder="1" applyAlignment="1">
      <alignment horizontal="center" vertical="center" wrapText="1"/>
    </xf>
    <xf numFmtId="43" fontId="0" fillId="0" borderId="0" xfId="2" applyFont="1"/>
    <xf numFmtId="43" fontId="0" fillId="0" borderId="28" xfId="2" applyFont="1" applyBorder="1"/>
    <xf numFmtId="43" fontId="10" fillId="0" borderId="29" xfId="2" applyFont="1" applyFill="1" applyBorder="1"/>
    <xf numFmtId="43" fontId="15" fillId="4" borderId="0" xfId="2" applyFont="1" applyFill="1" applyBorder="1"/>
    <xf numFmtId="4" fontId="10" fillId="0" borderId="0" xfId="0" applyNumberFormat="1" applyFont="1"/>
    <xf numFmtId="8" fontId="0" fillId="0" borderId="0" xfId="0" applyNumberFormat="1"/>
    <xf numFmtId="0" fontId="20" fillId="14" borderId="0" xfId="4" applyFill="1"/>
    <xf numFmtId="0" fontId="20" fillId="0" borderId="0" xfId="4"/>
    <xf numFmtId="0" fontId="21" fillId="0" borderId="0" xfId="5" applyNumberFormat="1" applyFill="1" applyBorder="1"/>
    <xf numFmtId="49" fontId="22" fillId="14" borderId="0" xfId="4" applyNumberFormat="1" applyFont="1" applyFill="1"/>
    <xf numFmtId="0" fontId="21" fillId="14" borderId="0" xfId="4" applyFont="1" applyFill="1"/>
    <xf numFmtId="49" fontId="3" fillId="15" borderId="13" xfId="4" applyNumberFormat="1" applyFont="1" applyFill="1" applyBorder="1" applyAlignment="1">
      <alignment horizontal="center"/>
    </xf>
    <xf numFmtId="0" fontId="1" fillId="14" borderId="13" xfId="4" applyFont="1" applyFill="1" applyBorder="1" applyAlignment="1">
      <alignment vertical="center"/>
    </xf>
    <xf numFmtId="164" fontId="1" fillId="14" borderId="13" xfId="4" applyNumberFormat="1" applyFont="1" applyFill="1" applyBorder="1" applyAlignment="1">
      <alignment vertical="center"/>
    </xf>
    <xf numFmtId="49" fontId="1" fillId="14" borderId="13" xfId="4" applyNumberFormat="1" applyFont="1" applyFill="1" applyBorder="1" applyAlignment="1">
      <alignment vertical="center" wrapText="1"/>
    </xf>
    <xf numFmtId="165" fontId="1" fillId="14" borderId="13" xfId="4" applyNumberFormat="1" applyFont="1" applyFill="1" applyBorder="1" applyAlignment="1">
      <alignment vertical="center"/>
    </xf>
    <xf numFmtId="0" fontId="1" fillId="0" borderId="0" xfId="4" applyFont="1"/>
    <xf numFmtId="165" fontId="1" fillId="0" borderId="28" xfId="4" applyNumberFormat="1" applyFont="1" applyBorder="1"/>
    <xf numFmtId="0" fontId="1" fillId="0" borderId="0" xfId="5" applyNumberFormat="1" applyFont="1" applyFill="1" applyBorder="1"/>
    <xf numFmtId="49" fontId="1" fillId="0" borderId="13" xfId="4" applyNumberFormat="1" applyFont="1" applyBorder="1" applyAlignment="1">
      <alignment vertical="center" wrapText="1"/>
    </xf>
    <xf numFmtId="0" fontId="1" fillId="14" borderId="13" xfId="4" applyFont="1" applyFill="1" applyBorder="1" applyAlignment="1">
      <alignment horizontal="right" vertical="center"/>
    </xf>
    <xf numFmtId="0" fontId="7" fillId="0" borderId="0" xfId="4" applyFont="1"/>
    <xf numFmtId="0" fontId="7" fillId="0" borderId="13" xfId="4" applyFont="1" applyBorder="1"/>
    <xf numFmtId="165" fontId="7" fillId="0" borderId="0" xfId="4" applyNumberFormat="1" applyFont="1"/>
    <xf numFmtId="44" fontId="1" fillId="0" borderId="0" xfId="3" applyFont="1" applyFill="1" applyBorder="1"/>
    <xf numFmtId="43" fontId="1" fillId="0" borderId="0" xfId="5" applyNumberFormat="1" applyFont="1" applyFill="1" applyBorder="1"/>
    <xf numFmtId="43" fontId="7" fillId="0" borderId="13" xfId="2" applyFont="1" applyBorder="1"/>
    <xf numFmtId="0" fontId="24" fillId="0" borderId="0" xfId="0" applyFont="1"/>
    <xf numFmtId="0" fontId="2" fillId="0" borderId="0" xfId="0" applyFont="1" applyAlignment="1">
      <alignment horizontal="left"/>
    </xf>
    <xf numFmtId="43" fontId="2" fillId="0" borderId="0" xfId="2" applyFont="1" applyAlignment="1">
      <alignment horizontal="center"/>
    </xf>
    <xf numFmtId="43" fontId="2" fillId="0" borderId="28" xfId="2" applyFont="1" applyBorder="1" applyAlignment="1">
      <alignment horizontal="center"/>
    </xf>
    <xf numFmtId="0" fontId="17" fillId="0" borderId="0" xfId="0" applyFont="1"/>
    <xf numFmtId="43" fontId="17" fillId="0" borderId="0" xfId="2" applyFont="1"/>
    <xf numFmtId="0" fontId="25" fillId="0" borderId="0" xfId="0" applyFont="1"/>
    <xf numFmtId="8" fontId="17" fillId="0" borderId="0" xfId="0" applyNumberFormat="1" applyFont="1"/>
    <xf numFmtId="43" fontId="17" fillId="0" borderId="0" xfId="0" applyNumberFormat="1" applyFont="1"/>
    <xf numFmtId="4" fontId="2" fillId="15" borderId="30" xfId="0" applyNumberFormat="1" applyFont="1" applyFill="1" applyBorder="1" applyAlignment="1">
      <alignment horizontal="center"/>
    </xf>
    <xf numFmtId="4" fontId="2" fillId="15" borderId="31" xfId="0" quotePrefix="1" applyNumberFormat="1" applyFont="1" applyFill="1" applyBorder="1" applyAlignment="1">
      <alignment horizontal="center"/>
    </xf>
    <xf numFmtId="0" fontId="27" fillId="0" borderId="0" xfId="0" applyFont="1"/>
    <xf numFmtId="8" fontId="15" fillId="0" borderId="0" xfId="0" applyNumberFormat="1" applyFont="1" applyAlignment="1">
      <alignment horizontal="center"/>
    </xf>
    <xf numFmtId="44" fontId="0" fillId="0" borderId="0" xfId="0" applyNumberFormat="1"/>
    <xf numFmtId="43" fontId="9" fillId="16" borderId="15" xfId="0" applyNumberFormat="1" applyFont="1" applyFill="1" applyBorder="1"/>
    <xf numFmtId="44" fontId="1" fillId="0" borderId="0" xfId="1" applyNumberFormat="1"/>
    <xf numFmtId="43" fontId="1" fillId="0" borderId="0" xfId="0" applyNumberFormat="1" applyFont="1"/>
    <xf numFmtId="43" fontId="0" fillId="0" borderId="13" xfId="0" applyNumberFormat="1" applyBorder="1"/>
    <xf numFmtId="43" fontId="21" fillId="0" borderId="0" xfId="2" applyFont="1" applyFill="1" applyBorder="1"/>
    <xf numFmtId="43" fontId="3" fillId="15" borderId="13" xfId="2" applyFont="1" applyFill="1" applyBorder="1" applyAlignment="1">
      <alignment horizontal="center"/>
    </xf>
    <xf numFmtId="43" fontId="0" fillId="0" borderId="13" xfId="2" applyFont="1" applyBorder="1"/>
    <xf numFmtId="43" fontId="1" fillId="0" borderId="13" xfId="2" applyFont="1" applyBorder="1"/>
    <xf numFmtId="43" fontId="1" fillId="0" borderId="0" xfId="2" applyFont="1" applyBorder="1"/>
    <xf numFmtId="49" fontId="3" fillId="15" borderId="13" xfId="0" applyNumberFormat="1" applyFont="1" applyFill="1" applyBorder="1" applyAlignment="1">
      <alignment horizontal="center" wrapText="1"/>
    </xf>
    <xf numFmtId="44" fontId="10" fillId="0" borderId="0" xfId="0" applyNumberFormat="1" applyFont="1"/>
    <xf numFmtId="43" fontId="0" fillId="16" borderId="28" xfId="0" applyNumberFormat="1" applyFill="1" applyBorder="1"/>
    <xf numFmtId="164" fontId="1" fillId="14" borderId="13" xfId="4" applyNumberFormat="1" applyFont="1" applyFill="1" applyBorder="1" applyAlignment="1">
      <alignment horizontal="right" vertical="center"/>
    </xf>
    <xf numFmtId="14" fontId="0" fillId="0" borderId="0" xfId="0" applyNumberFormat="1"/>
    <xf numFmtId="43" fontId="0" fillId="0" borderId="0" xfId="2" applyFont="1" applyFill="1" applyBorder="1" applyAlignment="1"/>
    <xf numFmtId="0" fontId="29" fillId="0" borderId="0" xfId="0" applyFont="1" applyAlignment="1">
      <alignment horizontal="right"/>
    </xf>
    <xf numFmtId="0" fontId="17" fillId="0" borderId="0" xfId="0" applyFont="1" applyAlignment="1">
      <alignment horizontal="right"/>
    </xf>
    <xf numFmtId="0" fontId="2" fillId="0" borderId="32" xfId="1" applyFont="1" applyBorder="1"/>
    <xf numFmtId="43" fontId="5" fillId="0" borderId="35" xfId="1" applyNumberFormat="1" applyFont="1" applyBorder="1"/>
    <xf numFmtId="43" fontId="5" fillId="0" borderId="36" xfId="1" applyNumberFormat="1" applyFont="1" applyBorder="1"/>
    <xf numFmtId="43" fontId="5" fillId="0" borderId="13" xfId="1" applyNumberFormat="1" applyFont="1" applyBorder="1"/>
    <xf numFmtId="49" fontId="23" fillId="14" borderId="0" xfId="4" applyNumberFormat="1" applyFont="1" applyFill="1" applyAlignment="1">
      <alignment vertical="center" wrapText="1"/>
    </xf>
    <xf numFmtId="43" fontId="1" fillId="0" borderId="0" xfId="6" applyFont="1" applyBorder="1"/>
    <xf numFmtId="43" fontId="1" fillId="16" borderId="28" xfId="6" applyFont="1" applyFill="1" applyBorder="1"/>
    <xf numFmtId="43" fontId="1" fillId="0" borderId="0" xfId="4" applyNumberFormat="1" applyFont="1"/>
    <xf numFmtId="44" fontId="17" fillId="0" borderId="0" xfId="3" applyFont="1"/>
    <xf numFmtId="44" fontId="17" fillId="0" borderId="28" xfId="3" applyFont="1" applyBorder="1"/>
    <xf numFmtId="166" fontId="0" fillId="0" borderId="0" xfId="2" applyNumberFormat="1" applyFont="1"/>
    <xf numFmtId="43" fontId="30" fillId="0" borderId="0" xfId="2" applyFont="1"/>
    <xf numFmtId="165" fontId="1" fillId="0" borderId="13" xfId="4" applyNumberFormat="1" applyFont="1" applyBorder="1" applyAlignment="1">
      <alignment vertical="center"/>
    </xf>
    <xf numFmtId="43" fontId="25" fillId="0" borderId="0" xfId="0" applyNumberFormat="1" applyFont="1"/>
    <xf numFmtId="43" fontId="0" fillId="0" borderId="0" xfId="2" applyFont="1" applyFill="1"/>
    <xf numFmtId="0" fontId="0" fillId="0" borderId="0" xfId="0" applyAlignment="1">
      <alignment horizontal="right"/>
    </xf>
    <xf numFmtId="43" fontId="0" fillId="15" borderId="30" xfId="2" applyFont="1" applyFill="1" applyBorder="1" applyAlignment="1">
      <alignment horizontal="center"/>
    </xf>
    <xf numFmtId="43" fontId="0" fillId="15" borderId="30" xfId="2" applyFont="1" applyFill="1" applyBorder="1" applyAlignment="1">
      <alignment horizontal="center" wrapText="1"/>
    </xf>
    <xf numFmtId="43" fontId="0" fillId="16" borderId="13" xfId="2" applyFont="1" applyFill="1" applyBorder="1"/>
    <xf numFmtId="167" fontId="0" fillId="0" borderId="0" xfId="2" applyNumberFormat="1" applyFont="1"/>
    <xf numFmtId="49" fontId="1" fillId="14" borderId="0" xfId="4" applyNumberFormat="1" applyFont="1" applyFill="1" applyAlignment="1">
      <alignment horizontal="right" vertical="center" wrapText="1"/>
    </xf>
    <xf numFmtId="8" fontId="31" fillId="16" borderId="6" xfId="0" applyNumberFormat="1" applyFont="1" applyFill="1" applyBorder="1"/>
    <xf numFmtId="43" fontId="4" fillId="16" borderId="28" xfId="2" applyFont="1" applyFill="1" applyBorder="1" applyAlignment="1">
      <alignment horizontal="center"/>
    </xf>
    <xf numFmtId="43" fontId="1" fillId="0" borderId="13" xfId="2" applyFont="1" applyFill="1" applyBorder="1"/>
    <xf numFmtId="43" fontId="0" fillId="0" borderId="38" xfId="2" applyFont="1" applyBorder="1"/>
    <xf numFmtId="9" fontId="0" fillId="0" borderId="13" xfId="7" applyFont="1" applyBorder="1"/>
    <xf numFmtId="43" fontId="32" fillId="0" borderId="0" xfId="2" applyFont="1" applyAlignment="1">
      <alignment horizontal="right"/>
    </xf>
    <xf numFmtId="43" fontId="0" fillId="0" borderId="13" xfId="2" applyFont="1" applyFill="1" applyBorder="1"/>
    <xf numFmtId="9" fontId="0" fillId="0" borderId="0" xfId="2" applyNumberFormat="1" applyFont="1"/>
    <xf numFmtId="9" fontId="0" fillId="16" borderId="13" xfId="7" applyFont="1" applyFill="1" applyBorder="1"/>
    <xf numFmtId="0" fontId="0" fillId="0" borderId="0" xfId="0" quotePrefix="1"/>
    <xf numFmtId="166" fontId="0" fillId="0" borderId="13" xfId="2" applyNumberFormat="1" applyFont="1" applyFill="1" applyBorder="1"/>
    <xf numFmtId="0" fontId="28" fillId="0" borderId="0" xfId="0" applyFont="1" applyAlignment="1">
      <alignment horizontal="right"/>
    </xf>
    <xf numFmtId="43" fontId="1" fillId="0" borderId="0" xfId="1" applyNumberFormat="1" applyAlignment="1">
      <alignment wrapText="1"/>
    </xf>
    <xf numFmtId="43" fontId="1" fillId="0" borderId="39" xfId="1" applyNumberFormat="1" applyBorder="1"/>
    <xf numFmtId="165" fontId="20" fillId="14" borderId="0" xfId="4" applyNumberFormat="1" applyFill="1"/>
    <xf numFmtId="43" fontId="21" fillId="0" borderId="0" xfId="5" applyNumberFormat="1" applyFill="1" applyBorder="1"/>
    <xf numFmtId="44" fontId="17" fillId="0" borderId="0" xfId="3" applyFont="1" applyBorder="1"/>
    <xf numFmtId="43" fontId="35" fillId="0" borderId="0" xfId="4" applyNumberFormat="1" applyFont="1"/>
    <xf numFmtId="0" fontId="28" fillId="0" borderId="0" xfId="0" applyFont="1" applyAlignment="1">
      <alignment vertical="center"/>
    </xf>
    <xf numFmtId="43" fontId="36" fillId="0" borderId="0" xfId="0" applyNumberFormat="1" applyFont="1"/>
    <xf numFmtId="16" fontId="1" fillId="14" borderId="13" xfId="4" applyNumberFormat="1" applyFont="1" applyFill="1" applyBorder="1" applyAlignment="1">
      <alignment vertical="center"/>
    </xf>
    <xf numFmtId="43" fontId="1" fillId="0" borderId="0" xfId="2" applyFont="1" applyBorder="1" applyAlignment="1">
      <alignment vertical="center"/>
    </xf>
    <xf numFmtId="165" fontId="21" fillId="0" borderId="0" xfId="5" applyNumberFormat="1" applyFill="1" applyBorder="1"/>
    <xf numFmtId="43" fontId="0" fillId="16" borderId="13" xfId="2" applyFont="1" applyFill="1" applyBorder="1" applyAlignment="1">
      <alignment horizontal="left" wrapText="1"/>
    </xf>
    <xf numFmtId="0" fontId="2" fillId="0" borderId="3" xfId="1" applyFont="1" applyBorder="1" applyAlignment="1">
      <alignment vertical="center"/>
    </xf>
    <xf numFmtId="43" fontId="1" fillId="0" borderId="39" xfId="1" applyNumberFormat="1" applyBorder="1" applyAlignment="1">
      <alignment vertical="center"/>
    </xf>
    <xf numFmtId="43" fontId="1" fillId="0" borderId="0" xfId="1" applyNumberFormat="1" applyAlignment="1">
      <alignment vertical="center" wrapText="1"/>
    </xf>
    <xf numFmtId="166" fontId="0" fillId="0" borderId="0" xfId="2" applyNumberFormat="1" applyFont="1" applyFill="1" applyBorder="1"/>
    <xf numFmtId="43" fontId="0" fillId="0" borderId="0" xfId="2" applyFont="1" applyFill="1" applyBorder="1"/>
    <xf numFmtId="43" fontId="0" fillId="0" borderId="0" xfId="2" applyFont="1" applyBorder="1"/>
    <xf numFmtId="43" fontId="25" fillId="0" borderId="0" xfId="2" applyFont="1"/>
    <xf numFmtId="0" fontId="0" fillId="3" borderId="13" xfId="0" applyFill="1" applyBorder="1" applyAlignment="1">
      <alignment vertical="center"/>
    </xf>
    <xf numFmtId="44" fontId="0" fillId="0" borderId="0" xfId="3" applyFont="1"/>
    <xf numFmtId="0" fontId="28" fillId="0" borderId="0" xfId="0" applyFont="1"/>
    <xf numFmtId="8" fontId="17" fillId="0" borderId="0" xfId="2" applyNumberFormat="1" applyFont="1" applyBorder="1" applyAlignment="1">
      <alignment horizontal="center"/>
    </xf>
    <xf numFmtId="8" fontId="17" fillId="0" borderId="0" xfId="3" applyNumberFormat="1" applyFont="1" applyBorder="1"/>
    <xf numFmtId="0" fontId="0" fillId="0" borderId="0" xfId="0" applyAlignment="1">
      <alignment wrapText="1"/>
    </xf>
    <xf numFmtId="0" fontId="0" fillId="3" borderId="13" xfId="0" applyFill="1" applyBorder="1" applyAlignment="1">
      <alignment horizontal="center" vertical="center"/>
    </xf>
    <xf numFmtId="0" fontId="0" fillId="0" borderId="0" xfId="0" applyAlignment="1">
      <alignment horizontal="center"/>
    </xf>
    <xf numFmtId="44" fontId="0" fillId="0" borderId="13" xfId="3" applyFont="1" applyBorder="1"/>
    <xf numFmtId="0" fontId="37" fillId="0" borderId="0" xfId="0" applyFont="1"/>
    <xf numFmtId="43" fontId="1" fillId="0" borderId="32" xfId="1" applyNumberFormat="1" applyBorder="1"/>
    <xf numFmtId="43" fontId="1" fillId="0" borderId="13" xfId="1" applyNumberFormat="1" applyBorder="1"/>
    <xf numFmtId="43" fontId="1" fillId="0" borderId="5" xfId="1" applyNumberFormat="1" applyBorder="1"/>
    <xf numFmtId="43" fontId="1" fillId="0" borderId="14" xfId="1" applyNumberFormat="1" applyBorder="1"/>
    <xf numFmtId="0" fontId="1" fillId="0" borderId="13" xfId="4" applyFont="1" applyBorder="1" applyAlignment="1">
      <alignment vertical="center"/>
    </xf>
    <xf numFmtId="0" fontId="1" fillId="0" borderId="13" xfId="4" applyFont="1" applyBorder="1" applyAlignment="1">
      <alignment horizontal="right" vertical="center"/>
    </xf>
    <xf numFmtId="0" fontId="38" fillId="0" borderId="13" xfId="0" applyFont="1" applyBorder="1"/>
    <xf numFmtId="44" fontId="38" fillId="0" borderId="13" xfId="3" applyFont="1" applyBorder="1"/>
    <xf numFmtId="8" fontId="17" fillId="0" borderId="0" xfId="3" applyNumberFormat="1" applyFont="1"/>
    <xf numFmtId="10" fontId="0" fillId="0" borderId="0" xfId="7" applyNumberFormat="1" applyFont="1"/>
    <xf numFmtId="0" fontId="9" fillId="11" borderId="22" xfId="0" applyFont="1" applyFill="1" applyBorder="1" applyAlignment="1">
      <alignment horizontal="center"/>
    </xf>
    <xf numFmtId="0" fontId="9" fillId="11" borderId="21" xfId="0" applyFont="1" applyFill="1" applyBorder="1" applyAlignment="1">
      <alignment horizontal="center"/>
    </xf>
    <xf numFmtId="0" fontId="9" fillId="11" borderId="14" xfId="0" applyFont="1" applyFill="1" applyBorder="1" applyAlignment="1">
      <alignment horizontal="center"/>
    </xf>
    <xf numFmtId="0" fontId="14" fillId="10" borderId="19" xfId="0" applyFont="1" applyFill="1" applyBorder="1" applyAlignment="1">
      <alignment horizontal="left" vertical="center"/>
    </xf>
    <xf numFmtId="0" fontId="14" fillId="10" borderId="20" xfId="0" applyFont="1" applyFill="1" applyBorder="1" applyAlignment="1">
      <alignment horizontal="left" vertical="center"/>
    </xf>
    <xf numFmtId="0" fontId="9" fillId="11" borderId="34" xfId="0" applyFont="1" applyFill="1" applyBorder="1" applyAlignment="1">
      <alignment horizontal="center"/>
    </xf>
    <xf numFmtId="0" fontId="9" fillId="11" borderId="33" xfId="0" applyFont="1" applyFill="1" applyBorder="1" applyAlignment="1">
      <alignment horizontal="center"/>
    </xf>
    <xf numFmtId="0" fontId="1" fillId="0" borderId="0" xfId="4" applyFont="1" applyAlignment="1">
      <alignment horizontal="left" wrapText="1"/>
    </xf>
    <xf numFmtId="0" fontId="1" fillId="0" borderId="0" xfId="4" quotePrefix="1" applyFont="1" applyAlignment="1">
      <alignment horizontal="left"/>
    </xf>
    <xf numFmtId="0" fontId="0" fillId="17" borderId="8" xfId="0" applyFill="1" applyBorder="1" applyAlignment="1">
      <alignment horizontal="left" wrapText="1"/>
    </xf>
    <xf numFmtId="0" fontId="0" fillId="17" borderId="7" xfId="0" applyFill="1" applyBorder="1" applyAlignment="1">
      <alignment horizontal="left" wrapText="1"/>
    </xf>
    <xf numFmtId="0" fontId="0" fillId="17" borderId="37" xfId="0" applyFill="1" applyBorder="1" applyAlignment="1">
      <alignment horizontal="left" wrapText="1"/>
    </xf>
    <xf numFmtId="0" fontId="1" fillId="0" borderId="13" xfId="1" applyBorder="1" applyAlignment="1">
      <alignment wrapText="1"/>
    </xf>
  </cellXfs>
  <cellStyles count="8">
    <cellStyle name="Comma" xfId="2" builtinId="3"/>
    <cellStyle name="Comma 2" xfId="6" xr:uid="{DB857D5C-FBE4-4935-8F37-2E4267F4261B}"/>
    <cellStyle name="Currency" xfId="3" builtinId="4"/>
    <cellStyle name="Normal" xfId="0" builtinId="0"/>
    <cellStyle name="Normal 2" xfId="4" xr:uid="{79B9D707-3A98-427A-98B3-43B3CCF9DEF9}"/>
    <cellStyle name="Normal 2 2" xfId="5" xr:uid="{5CC0BB7D-AA10-4551-8970-AC300C0FB3F4}"/>
    <cellStyle name="Normal 4" xfId="1" xr:uid="{5615A955-D1A4-4140-8768-45801A7991D0}"/>
    <cellStyle name="Percent" xfId="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10/relationships/person" Target="persons/perso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13</xdr:col>
      <xdr:colOff>314993</xdr:colOff>
      <xdr:row>26</xdr:row>
      <xdr:rowOff>40024</xdr:rowOff>
    </xdr:from>
    <xdr:to>
      <xdr:col>13</xdr:col>
      <xdr:colOff>419767</xdr:colOff>
      <xdr:row>28</xdr:row>
      <xdr:rowOff>115366</xdr:rowOff>
    </xdr:to>
    <xdr:sp macro="" textlink="">
      <xdr:nvSpPr>
        <xdr:cNvPr id="2" name="Arrow: Up 1">
          <a:extLst>
            <a:ext uri="{FF2B5EF4-FFF2-40B4-BE49-F238E27FC236}">
              <a16:creationId xmlns:a16="http://schemas.microsoft.com/office/drawing/2014/main" id="{42EC1A87-7C7C-74DB-16B3-178CCB754277}"/>
            </a:ext>
          </a:extLst>
        </xdr:cNvPr>
        <xdr:cNvSpPr/>
      </xdr:nvSpPr>
      <xdr:spPr>
        <a:xfrm>
          <a:off x="12824493" y="5228881"/>
          <a:ext cx="104774" cy="483556"/>
        </a:xfrm>
        <a:prstGeom prst="upArrow">
          <a:avLst>
            <a:gd name="adj1" fmla="val 76595"/>
            <a:gd name="adj2" fmla="val 50000"/>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66675</xdr:colOff>
      <xdr:row>20</xdr:row>
      <xdr:rowOff>123825</xdr:rowOff>
    </xdr:from>
    <xdr:to>
      <xdr:col>3</xdr:col>
      <xdr:colOff>57150</xdr:colOff>
      <xdr:row>24</xdr:row>
      <xdr:rowOff>76200</xdr:rowOff>
    </xdr:to>
    <xdr:sp macro="" textlink="">
      <xdr:nvSpPr>
        <xdr:cNvPr id="3" name="Rectangle: Rounded Corners 2">
          <a:extLst>
            <a:ext uri="{FF2B5EF4-FFF2-40B4-BE49-F238E27FC236}">
              <a16:creationId xmlns:a16="http://schemas.microsoft.com/office/drawing/2014/main" id="{76CABB06-420A-8342-9023-10EA11DF5DA0}"/>
            </a:ext>
          </a:extLst>
        </xdr:cNvPr>
        <xdr:cNvSpPr/>
      </xdr:nvSpPr>
      <xdr:spPr>
        <a:xfrm>
          <a:off x="3552825" y="4229100"/>
          <a:ext cx="762000" cy="819150"/>
        </a:xfrm>
        <a:prstGeom prst="roundRect">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26</xdr:row>
      <xdr:rowOff>161924</xdr:rowOff>
    </xdr:from>
    <xdr:to>
      <xdr:col>8</xdr:col>
      <xdr:colOff>136070</xdr:colOff>
      <xdr:row>35</xdr:row>
      <xdr:rowOff>104775</xdr:rowOff>
    </xdr:to>
    <xdr:sp macro="" textlink="">
      <xdr:nvSpPr>
        <xdr:cNvPr id="6" name="Rectangle: Rounded Corners 5">
          <a:extLst>
            <a:ext uri="{FF2B5EF4-FFF2-40B4-BE49-F238E27FC236}">
              <a16:creationId xmlns:a16="http://schemas.microsoft.com/office/drawing/2014/main" id="{2BB4FE37-208A-416B-ADBA-803FF55CBA7D}"/>
            </a:ext>
          </a:extLst>
        </xdr:cNvPr>
        <xdr:cNvSpPr/>
      </xdr:nvSpPr>
      <xdr:spPr>
        <a:xfrm>
          <a:off x="0" y="5350781"/>
          <a:ext cx="8772070" cy="1648280"/>
        </a:xfrm>
        <a:prstGeom prst="round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113393</xdr:colOff>
      <xdr:row>33</xdr:row>
      <xdr:rowOff>19957</xdr:rowOff>
    </xdr:from>
    <xdr:to>
      <xdr:col>12</xdr:col>
      <xdr:colOff>542018</xdr:colOff>
      <xdr:row>33</xdr:row>
      <xdr:rowOff>134258</xdr:rowOff>
    </xdr:to>
    <xdr:sp macro="" textlink="">
      <xdr:nvSpPr>
        <xdr:cNvPr id="4" name="Arrow: Left 3">
          <a:extLst>
            <a:ext uri="{FF2B5EF4-FFF2-40B4-BE49-F238E27FC236}">
              <a16:creationId xmlns:a16="http://schemas.microsoft.com/office/drawing/2014/main" id="{01B1DEC6-4504-4EE9-8115-66A6F3B3F7CC}"/>
            </a:ext>
          </a:extLst>
        </xdr:cNvPr>
        <xdr:cNvSpPr/>
      </xdr:nvSpPr>
      <xdr:spPr>
        <a:xfrm>
          <a:off x="11869964" y="6524171"/>
          <a:ext cx="428625" cy="114301"/>
        </a:xfrm>
        <a:prstGeom prst="leftArrow">
          <a:avLst/>
        </a:prstGeom>
        <a:solidFill>
          <a:srgbClr val="33CC33"/>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1919381</xdr:colOff>
      <xdr:row>136</xdr:row>
      <xdr:rowOff>6351</xdr:rowOff>
    </xdr:from>
    <xdr:to>
      <xdr:col>5</xdr:col>
      <xdr:colOff>424823</xdr:colOff>
      <xdr:row>146</xdr:row>
      <xdr:rowOff>23279</xdr:rowOff>
    </xdr:to>
    <xdr:pic>
      <xdr:nvPicPr>
        <xdr:cNvPr id="2" name="Picture 1">
          <a:extLst>
            <a:ext uri="{FF2B5EF4-FFF2-40B4-BE49-F238E27FC236}">
              <a16:creationId xmlns:a16="http://schemas.microsoft.com/office/drawing/2014/main" id="{5AA59E9A-86C6-BD40-98D2-A69FEAB05DCE}"/>
            </a:ext>
          </a:extLst>
        </xdr:cNvPr>
        <xdr:cNvPicPr>
          <a:picLocks noChangeAspect="1"/>
        </xdr:cNvPicPr>
      </xdr:nvPicPr>
      <xdr:blipFill>
        <a:blip xmlns:r="http://schemas.openxmlformats.org/officeDocument/2006/relationships" r:embed="rId1"/>
        <a:stretch>
          <a:fillRect/>
        </a:stretch>
      </xdr:blipFill>
      <xdr:spPr>
        <a:xfrm>
          <a:off x="4261410" y="28323616"/>
          <a:ext cx="3111060" cy="1921928"/>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2CB7F-EBCB-449A-81DA-D4845C21292A}">
  <sheetPr>
    <tabColor rgb="FF92D050"/>
    <pageSetUpPr fitToPage="1"/>
  </sheetPr>
  <dimension ref="A1:AM63"/>
  <sheetViews>
    <sheetView tabSelected="1" zoomScale="70" zoomScaleNormal="70" workbookViewId="0">
      <pane xSplit="1" ySplit="3" topLeftCell="B18" activePane="bottomRight" state="frozen"/>
      <selection pane="topRight" activeCell="B1" sqref="B1"/>
      <selection pane="bottomLeft" activeCell="A3" sqref="A3"/>
      <selection pane="bottomRight" activeCell="J29" sqref="J29"/>
    </sheetView>
  </sheetViews>
  <sheetFormatPr defaultRowHeight="14.5" x14ac:dyDescent="0.35"/>
  <cols>
    <col min="1" max="1" width="40.26953125" bestFit="1" customWidth="1"/>
    <col min="2" max="2" width="12" bestFit="1" customWidth="1"/>
    <col min="3" max="3" width="11.54296875" customWidth="1"/>
    <col min="4" max="4" width="14.54296875" customWidth="1"/>
    <col min="5" max="5" width="11.453125" customWidth="1"/>
    <col min="6" max="7" width="11.1796875" bestFit="1" customWidth="1"/>
    <col min="8" max="8" width="11.54296875" bestFit="1" customWidth="1"/>
    <col min="9" max="9" width="11.1796875" bestFit="1" customWidth="1"/>
    <col min="10" max="11" width="10.81640625" bestFit="1" customWidth="1"/>
    <col min="12" max="12" width="12" customWidth="1"/>
    <col min="13" max="16" width="10.81640625" bestFit="1" customWidth="1"/>
  </cols>
  <sheetData>
    <row r="1" spans="1:20" ht="24" thickBot="1" x14ac:dyDescent="0.6">
      <c r="A1" s="127" t="s">
        <v>332</v>
      </c>
      <c r="P1" s="173" t="s">
        <v>0</v>
      </c>
    </row>
    <row r="2" spans="1:20" ht="15" thickBot="1" x14ac:dyDescent="0.4">
      <c r="A2" s="250" t="s">
        <v>154</v>
      </c>
      <c r="B2" s="247">
        <v>2024</v>
      </c>
      <c r="C2" s="247"/>
      <c r="D2" s="247"/>
      <c r="E2" s="248"/>
      <c r="F2" s="248"/>
      <c r="G2" s="248"/>
      <c r="H2" s="248"/>
      <c r="I2" s="248"/>
      <c r="J2" s="248"/>
      <c r="K2" s="248"/>
      <c r="L2" s="248"/>
      <c r="M2" s="248"/>
      <c r="N2" s="248"/>
      <c r="O2" s="248"/>
      <c r="P2" s="249"/>
      <c r="Q2" s="50"/>
      <c r="R2" s="50"/>
      <c r="S2" s="50"/>
      <c r="T2" s="50"/>
    </row>
    <row r="3" spans="1:20" ht="26.5" thickBot="1" x14ac:dyDescent="0.4">
      <c r="A3" s="251"/>
      <c r="B3" s="92" t="s">
        <v>1</v>
      </c>
      <c r="C3" s="91" t="s">
        <v>2</v>
      </c>
      <c r="D3" s="90" t="s">
        <v>3</v>
      </c>
      <c r="E3" s="89" t="s">
        <v>4</v>
      </c>
      <c r="F3" s="88" t="s">
        <v>5</v>
      </c>
      <c r="G3" s="88" t="s">
        <v>6</v>
      </c>
      <c r="H3" s="88" t="s">
        <v>7</v>
      </c>
      <c r="I3" s="88" t="s">
        <v>8</v>
      </c>
      <c r="J3" s="88" t="s">
        <v>9</v>
      </c>
      <c r="K3" s="88" t="s">
        <v>10</v>
      </c>
      <c r="L3" s="88" t="s">
        <v>11</v>
      </c>
      <c r="M3" s="88" t="s">
        <v>12</v>
      </c>
      <c r="N3" s="88" t="s">
        <v>13</v>
      </c>
      <c r="O3" s="88" t="s">
        <v>14</v>
      </c>
      <c r="P3" s="88" t="s">
        <v>15</v>
      </c>
      <c r="Q3" s="50"/>
      <c r="R3" s="50"/>
      <c r="S3" s="50"/>
      <c r="T3" s="50"/>
    </row>
    <row r="4" spans="1:20" ht="15.5" x14ac:dyDescent="0.35">
      <c r="A4" s="87" t="s">
        <v>16</v>
      </c>
      <c r="B4" s="86"/>
      <c r="C4" s="85"/>
      <c r="D4" s="84"/>
      <c r="E4" s="36"/>
      <c r="F4" s="36"/>
      <c r="G4" s="36"/>
      <c r="H4" s="36"/>
      <c r="J4" s="36"/>
      <c r="K4" s="36"/>
      <c r="L4" s="36"/>
      <c r="M4" s="36"/>
      <c r="N4" s="36"/>
      <c r="O4" s="36"/>
      <c r="P4" s="36"/>
      <c r="Q4" s="35"/>
    </row>
    <row r="5" spans="1:20" x14ac:dyDescent="0.35">
      <c r="A5" s="70" t="s">
        <v>17</v>
      </c>
      <c r="B5" s="72">
        <v>30000</v>
      </c>
      <c r="C5" s="62">
        <f>SUM(E5:P5)</f>
        <v>22260.68</v>
      </c>
      <c r="D5" s="83">
        <f t="shared" ref="D5:D10" si="0">SUM(B5-C5)</f>
        <v>7739.32</v>
      </c>
      <c r="E5" s="60">
        <f>+'January 2024'!B6</f>
        <v>2443.2800000000002</v>
      </c>
      <c r="F5" s="59">
        <f>+'February 2024'!B6</f>
        <v>1940.08</v>
      </c>
      <c r="G5" s="59">
        <f>+'March 2024'!B6</f>
        <v>1211</v>
      </c>
      <c r="H5" s="59">
        <f>+'April 2024'!B6</f>
        <v>3089.6</v>
      </c>
      <c r="I5" s="59">
        <f>+'May 2024'!B6</f>
        <v>2108.31</v>
      </c>
      <c r="J5" s="59">
        <f>+'June 2024'!B6</f>
        <v>2567</v>
      </c>
      <c r="K5" s="59">
        <f>+'Jul 2024'!B6</f>
        <v>1806.6600000000003</v>
      </c>
      <c r="L5" s="59">
        <f>+'Aug 2024'!B6</f>
        <v>2414</v>
      </c>
      <c r="M5" s="59">
        <f>+'Sept 2024 p5'!B6</f>
        <v>1150.5</v>
      </c>
      <c r="N5" s="59">
        <f>+'October 2024 p6'!B6</f>
        <v>3530.25</v>
      </c>
      <c r="O5" s="59">
        <f>+'November 2024'!B6</f>
        <v>0</v>
      </c>
      <c r="P5" s="59">
        <f>+'December 2024'!B6</f>
        <v>0</v>
      </c>
      <c r="Q5" s="36"/>
      <c r="R5" s="50"/>
      <c r="S5" s="50"/>
      <c r="T5" s="35"/>
    </row>
    <row r="6" spans="1:20" x14ac:dyDescent="0.35">
      <c r="A6" s="25" t="s">
        <v>18</v>
      </c>
      <c r="B6" s="72">
        <v>0</v>
      </c>
      <c r="C6" s="62">
        <f t="shared" ref="C6:C16" si="1">SUM(E6:P6)</f>
        <v>0</v>
      </c>
      <c r="D6" s="67">
        <f t="shared" si="0"/>
        <v>0</v>
      </c>
      <c r="E6" s="60">
        <f>+'January 2024'!B7</f>
        <v>0</v>
      </c>
      <c r="F6" s="59">
        <f>+'February 2024'!B7</f>
        <v>0</v>
      </c>
      <c r="G6" s="59">
        <f>+'March 2024'!B7</f>
        <v>0</v>
      </c>
      <c r="H6" s="59">
        <f>+'April 2024'!B7</f>
        <v>0</v>
      </c>
      <c r="I6" s="59">
        <f>+'May 2024'!B7</f>
        <v>0</v>
      </c>
      <c r="J6" s="59">
        <f>+'June 2024'!B7</f>
        <v>0</v>
      </c>
      <c r="K6" s="59">
        <f>+'Jul 2024'!B7</f>
        <v>0</v>
      </c>
      <c r="L6" s="59">
        <f>+'Aug 2024'!B7</f>
        <v>0</v>
      </c>
      <c r="M6" s="59">
        <f>+'Sept 2024 p5'!B7</f>
        <v>0</v>
      </c>
      <c r="N6" s="59">
        <f>+'October 2024 p6'!B7</f>
        <v>0</v>
      </c>
      <c r="O6" s="59">
        <f>+'November 2024'!B7</f>
        <v>0</v>
      </c>
      <c r="P6" s="59">
        <f>+'December 2024'!B7</f>
        <v>0</v>
      </c>
      <c r="Q6" s="35"/>
      <c r="R6" s="58"/>
      <c r="S6" s="58"/>
    </row>
    <row r="7" spans="1:20" x14ac:dyDescent="0.35">
      <c r="A7" s="82" t="s">
        <v>19</v>
      </c>
      <c r="B7" s="72">
        <v>0</v>
      </c>
      <c r="C7" s="62">
        <f t="shared" si="1"/>
        <v>1080</v>
      </c>
      <c r="D7" s="67">
        <f t="shared" si="0"/>
        <v>-1080</v>
      </c>
      <c r="E7" s="60">
        <f>+'January 2024'!B8</f>
        <v>0</v>
      </c>
      <c r="F7" s="59">
        <f>+'February 2024'!B8</f>
        <v>0</v>
      </c>
      <c r="G7" s="59">
        <f>+'March 2024'!B8</f>
        <v>0</v>
      </c>
      <c r="H7" s="59">
        <f>+'April 2024'!B8</f>
        <v>1080</v>
      </c>
      <c r="I7" s="59">
        <f>+'May 2024'!B8</f>
        <v>0</v>
      </c>
      <c r="J7" s="59">
        <f>+'June 2024'!B8</f>
        <v>0</v>
      </c>
      <c r="K7" s="59">
        <v>0</v>
      </c>
      <c r="L7" s="59">
        <v>0</v>
      </c>
      <c r="M7" s="59">
        <f>+'Sept 2024 p5'!B8</f>
        <v>0</v>
      </c>
      <c r="N7" s="59">
        <f>+'October 2024 p6'!B8</f>
        <v>0</v>
      </c>
      <c r="O7" s="59">
        <f>+'November 2024'!B8</f>
        <v>0</v>
      </c>
      <c r="P7" s="59">
        <f>+'December 2024'!B8</f>
        <v>0</v>
      </c>
      <c r="Q7" s="36"/>
      <c r="R7" s="58"/>
      <c r="S7" s="58"/>
    </row>
    <row r="8" spans="1:20" x14ac:dyDescent="0.35">
      <c r="A8" s="82" t="s">
        <v>20</v>
      </c>
      <c r="B8" s="72">
        <v>0</v>
      </c>
      <c r="C8" s="62">
        <f t="shared" si="1"/>
        <v>1025.4499999999998</v>
      </c>
      <c r="D8" s="67">
        <f t="shared" si="0"/>
        <v>-1025.4499999999998</v>
      </c>
      <c r="E8" s="60"/>
      <c r="F8" s="59"/>
      <c r="G8" s="59"/>
      <c r="H8" s="59"/>
      <c r="I8" s="59"/>
      <c r="J8" s="59"/>
      <c r="K8" s="59">
        <f>3025.45-2000</f>
        <v>1025.4499999999998</v>
      </c>
      <c r="L8" s="59">
        <f>+'Aug 2024'!B8</f>
        <v>0</v>
      </c>
      <c r="M8" s="59"/>
      <c r="N8" s="59"/>
      <c r="O8" s="59"/>
      <c r="P8" s="59"/>
      <c r="Q8" s="36"/>
      <c r="R8" s="58"/>
      <c r="S8" s="58"/>
    </row>
    <row r="9" spans="1:20" x14ac:dyDescent="0.35">
      <c r="A9" s="82" t="s">
        <v>21</v>
      </c>
      <c r="B9" s="72">
        <v>500</v>
      </c>
      <c r="C9" s="62">
        <f t="shared" si="1"/>
        <v>0</v>
      </c>
      <c r="D9" s="67">
        <f t="shared" si="0"/>
        <v>500</v>
      </c>
      <c r="E9" s="60"/>
      <c r="F9" s="59"/>
      <c r="G9" s="59"/>
      <c r="H9" s="59"/>
      <c r="I9" s="59"/>
      <c r="J9" s="59"/>
      <c r="K9" s="59"/>
      <c r="L9" s="59"/>
      <c r="M9" s="59"/>
      <c r="N9" s="59"/>
      <c r="O9" s="59"/>
      <c r="P9" s="59"/>
      <c r="Q9" s="36"/>
      <c r="R9" s="58"/>
      <c r="S9" s="58"/>
    </row>
    <row r="10" spans="1:20" x14ac:dyDescent="0.35">
      <c r="A10" s="82" t="s">
        <v>22</v>
      </c>
      <c r="B10" s="72">
        <v>13225</v>
      </c>
      <c r="C10" s="62">
        <f t="shared" si="1"/>
        <v>0</v>
      </c>
      <c r="D10" s="67">
        <f t="shared" si="0"/>
        <v>13225</v>
      </c>
      <c r="E10" s="60"/>
      <c r="F10" s="59"/>
      <c r="G10" s="59" t="s">
        <v>23</v>
      </c>
      <c r="H10" s="59"/>
      <c r="I10" s="59"/>
      <c r="J10" s="59"/>
      <c r="K10" s="59"/>
      <c r="L10" s="59"/>
      <c r="M10" s="59"/>
      <c r="N10" s="59"/>
      <c r="O10" s="59"/>
      <c r="P10" s="59"/>
      <c r="Q10" s="36"/>
      <c r="R10" s="58"/>
      <c r="S10" s="58"/>
    </row>
    <row r="11" spans="1:20" x14ac:dyDescent="0.35">
      <c r="A11" s="81" t="s">
        <v>24</v>
      </c>
      <c r="B11" s="80" t="s">
        <v>23</v>
      </c>
      <c r="C11" s="79"/>
      <c r="D11" s="78"/>
      <c r="E11" s="77"/>
      <c r="F11" s="75"/>
      <c r="G11" s="75"/>
      <c r="H11" s="75"/>
      <c r="I11" s="76"/>
      <c r="J11" s="75"/>
      <c r="K11" s="75"/>
      <c r="L11" s="75"/>
      <c r="M11" s="75"/>
      <c r="N11" s="75"/>
      <c r="O11" s="75"/>
      <c r="P11" s="75"/>
      <c r="Q11" s="36"/>
      <c r="R11" s="50"/>
      <c r="S11" s="50"/>
      <c r="T11" s="50"/>
    </row>
    <row r="12" spans="1:20" x14ac:dyDescent="0.35">
      <c r="A12" s="74" t="s">
        <v>25</v>
      </c>
      <c r="B12" s="72">
        <v>5000</v>
      </c>
      <c r="C12" s="62">
        <f t="shared" si="1"/>
        <v>5000</v>
      </c>
      <c r="D12" s="67">
        <f>SUM(B12-C12)</f>
        <v>0</v>
      </c>
      <c r="E12" s="60"/>
      <c r="F12" s="60"/>
      <c r="G12" s="60"/>
      <c r="H12" s="60">
        <v>5000</v>
      </c>
      <c r="I12" s="59"/>
      <c r="J12" s="60"/>
      <c r="K12" s="60"/>
      <c r="L12" s="60"/>
      <c r="M12" s="60"/>
      <c r="N12" s="60"/>
      <c r="O12" s="60"/>
      <c r="P12" s="60"/>
      <c r="Q12" s="35"/>
      <c r="R12" s="58"/>
      <c r="S12" s="58"/>
    </row>
    <row r="13" spans="1:20" x14ac:dyDescent="0.35">
      <c r="A13" s="73" t="s">
        <v>26</v>
      </c>
      <c r="B13" s="72">
        <v>2000</v>
      </c>
      <c r="C13" s="62">
        <f t="shared" si="1"/>
        <v>2000</v>
      </c>
      <c r="D13" s="67">
        <f>SUM(B13-C13)</f>
        <v>0</v>
      </c>
      <c r="E13" s="60"/>
      <c r="F13" s="60"/>
      <c r="G13" s="60"/>
      <c r="H13" s="60" t="s">
        <v>23</v>
      </c>
      <c r="I13" s="60"/>
      <c r="J13" s="60"/>
      <c r="K13" s="60">
        <v>2000</v>
      </c>
      <c r="L13" s="60"/>
      <c r="M13" s="60"/>
      <c r="N13" s="60"/>
      <c r="O13" s="60"/>
      <c r="P13" s="60"/>
      <c r="Q13" s="36"/>
      <c r="R13" s="58"/>
      <c r="S13" s="58"/>
    </row>
    <row r="14" spans="1:20" x14ac:dyDescent="0.35">
      <c r="A14" s="25" t="s">
        <v>27</v>
      </c>
      <c r="B14" s="72">
        <v>2000</v>
      </c>
      <c r="C14" s="62">
        <f t="shared" si="1"/>
        <v>0</v>
      </c>
      <c r="D14" s="67">
        <f>SUM(B14-C14)</f>
        <v>2000</v>
      </c>
      <c r="E14" s="60"/>
      <c r="F14" s="60"/>
      <c r="G14" s="60"/>
      <c r="H14" s="60"/>
      <c r="I14" s="60"/>
      <c r="J14" s="60"/>
      <c r="K14" s="60"/>
      <c r="L14" s="60"/>
      <c r="M14" s="60"/>
      <c r="N14" s="60"/>
      <c r="O14" s="60"/>
      <c r="P14" s="60"/>
      <c r="Q14" s="36"/>
      <c r="R14" s="58"/>
      <c r="S14" s="58"/>
    </row>
    <row r="15" spans="1:20" x14ac:dyDescent="0.35">
      <c r="A15" s="25" t="s">
        <v>28</v>
      </c>
      <c r="B15" s="72">
        <v>2200</v>
      </c>
      <c r="C15" s="62">
        <f t="shared" si="1"/>
        <v>0</v>
      </c>
      <c r="D15" s="67">
        <f>SUM(B15-C15)</f>
        <v>2200</v>
      </c>
      <c r="E15" s="60"/>
      <c r="F15" s="60"/>
      <c r="G15" s="60"/>
      <c r="H15" s="60"/>
      <c r="I15" s="60"/>
      <c r="J15" s="60"/>
      <c r="K15" s="60"/>
      <c r="L15" s="60"/>
      <c r="M15" s="60"/>
      <c r="N15" s="60"/>
      <c r="O15" s="60"/>
      <c r="P15" s="60"/>
      <c r="Q15" s="36"/>
      <c r="R15" s="58"/>
      <c r="S15" s="58"/>
    </row>
    <row r="16" spans="1:20" ht="15" x14ac:dyDescent="0.4">
      <c r="A16" s="25" t="s">
        <v>29</v>
      </c>
      <c r="B16" s="71">
        <v>2500</v>
      </c>
      <c r="C16" s="62">
        <f t="shared" si="1"/>
        <v>2500</v>
      </c>
      <c r="D16" s="67">
        <f>SUM(B16-C16)</f>
        <v>0</v>
      </c>
      <c r="E16" s="60"/>
      <c r="F16" s="60"/>
      <c r="G16" s="60"/>
      <c r="H16" s="60"/>
      <c r="I16" s="60"/>
      <c r="J16" s="60">
        <f>+'June 2024'!B9</f>
        <v>2500</v>
      </c>
      <c r="K16" s="60"/>
      <c r="L16" s="60"/>
      <c r="M16" s="60"/>
      <c r="N16" s="60"/>
      <c r="O16" s="60"/>
      <c r="P16" s="60"/>
      <c r="Q16" s="36"/>
      <c r="R16" s="58"/>
      <c r="S16" s="58"/>
    </row>
    <row r="17" spans="1:39" x14ac:dyDescent="0.35">
      <c r="A17" s="70" t="s">
        <v>30</v>
      </c>
      <c r="B17" s="69">
        <v>13700</v>
      </c>
      <c r="C17" s="62"/>
      <c r="D17" s="67"/>
      <c r="E17" s="60"/>
      <c r="F17" s="59"/>
      <c r="G17" s="59"/>
      <c r="H17" s="59"/>
      <c r="I17" s="68"/>
      <c r="J17" s="59"/>
      <c r="K17" s="59"/>
      <c r="L17" s="59"/>
      <c r="M17" s="59"/>
      <c r="N17" s="59"/>
      <c r="O17" s="59"/>
      <c r="P17" s="59"/>
      <c r="Q17" s="36"/>
      <c r="R17" s="58"/>
      <c r="S17" s="58"/>
    </row>
    <row r="18" spans="1:39" x14ac:dyDescent="0.35">
      <c r="A18" s="25"/>
      <c r="B18" s="63"/>
      <c r="C18" s="62"/>
      <c r="D18" s="67"/>
      <c r="E18" s="60"/>
      <c r="F18" s="59"/>
      <c r="G18" s="59"/>
      <c r="H18" s="59"/>
      <c r="I18" s="59"/>
      <c r="J18" s="59"/>
      <c r="K18" s="59"/>
      <c r="L18" s="59"/>
      <c r="M18" s="59"/>
      <c r="N18" s="59"/>
      <c r="O18" s="59"/>
      <c r="P18" s="59"/>
      <c r="Q18" s="36"/>
      <c r="R18" s="58"/>
      <c r="S18" s="58"/>
    </row>
    <row r="19" spans="1:39" x14ac:dyDescent="0.35">
      <c r="A19" s="66" t="s">
        <v>31</v>
      </c>
      <c r="B19" s="56">
        <f>SUM(B5:B16)</f>
        <v>57425</v>
      </c>
      <c r="C19" s="56">
        <f t="shared" ref="C19:P19" si="2">SUM(C5:C18)</f>
        <v>33866.130000000005</v>
      </c>
      <c r="D19" s="56">
        <f t="shared" si="2"/>
        <v>23558.87</v>
      </c>
      <c r="E19" s="55">
        <f t="shared" si="2"/>
        <v>2443.2800000000002</v>
      </c>
      <c r="F19" s="55">
        <f t="shared" si="2"/>
        <v>1940.08</v>
      </c>
      <c r="G19" s="55">
        <f t="shared" si="2"/>
        <v>1211</v>
      </c>
      <c r="H19" s="55">
        <f t="shared" si="2"/>
        <v>9169.6</v>
      </c>
      <c r="I19" s="55">
        <f t="shared" si="2"/>
        <v>2108.31</v>
      </c>
      <c r="J19" s="55">
        <f t="shared" si="2"/>
        <v>5067</v>
      </c>
      <c r="K19" s="55">
        <f t="shared" si="2"/>
        <v>4832.1100000000006</v>
      </c>
      <c r="L19" s="55">
        <f t="shared" si="2"/>
        <v>2414</v>
      </c>
      <c r="M19" s="55">
        <f t="shared" si="2"/>
        <v>1150.5</v>
      </c>
      <c r="N19" s="55">
        <f t="shared" si="2"/>
        <v>3530.25</v>
      </c>
      <c r="O19" s="55">
        <f t="shared" si="2"/>
        <v>0</v>
      </c>
      <c r="P19" s="55">
        <f t="shared" si="2"/>
        <v>0</v>
      </c>
      <c r="Q19" s="35"/>
      <c r="R19" s="35"/>
      <c r="S19" s="35"/>
      <c r="T19" s="35"/>
      <c r="U19" s="35"/>
      <c r="V19" s="35"/>
      <c r="W19" s="35"/>
      <c r="X19" s="35"/>
      <c r="Y19" s="35"/>
      <c r="Z19" s="35"/>
      <c r="AA19" s="35"/>
      <c r="AB19" s="35"/>
      <c r="AC19" s="35"/>
      <c r="AD19" s="35"/>
      <c r="AE19" s="35"/>
      <c r="AF19" s="35"/>
      <c r="AG19" s="35"/>
      <c r="AH19" s="35"/>
      <c r="AI19" s="35"/>
      <c r="AJ19" s="35"/>
      <c r="AK19" s="35"/>
      <c r="AL19" s="35"/>
      <c r="AM19" s="35"/>
    </row>
    <row r="20" spans="1:39" x14ac:dyDescent="0.35">
      <c r="A20" s="65"/>
      <c r="B20" s="63"/>
      <c r="C20" s="62"/>
      <c r="D20" s="61"/>
      <c r="E20" s="60"/>
      <c r="F20" s="59"/>
      <c r="G20" s="59"/>
      <c r="H20" s="59"/>
      <c r="I20" s="59"/>
      <c r="J20" s="59"/>
      <c r="K20" s="59"/>
      <c r="L20" s="59"/>
      <c r="M20" s="59"/>
      <c r="N20" s="59"/>
      <c r="O20" s="59"/>
      <c r="P20" s="59"/>
      <c r="Q20" s="35"/>
      <c r="R20" s="58"/>
      <c r="S20" s="58"/>
    </row>
    <row r="21" spans="1:39" ht="15.5" x14ac:dyDescent="0.35">
      <c r="A21" s="64" t="s">
        <v>32</v>
      </c>
      <c r="B21" s="63"/>
      <c r="C21" s="62"/>
      <c r="D21" s="61"/>
      <c r="E21" s="60"/>
      <c r="F21" s="59"/>
      <c r="G21" s="59"/>
      <c r="H21" s="59"/>
      <c r="I21" s="59"/>
      <c r="J21" s="59"/>
      <c r="K21" s="59"/>
      <c r="L21" s="59"/>
      <c r="M21" s="59"/>
      <c r="N21" s="59"/>
      <c r="O21" s="59"/>
      <c r="P21" s="59"/>
      <c r="Q21" s="36"/>
      <c r="R21" s="58"/>
      <c r="S21" s="58"/>
    </row>
    <row r="22" spans="1:39" x14ac:dyDescent="0.35">
      <c r="A22" s="57" t="s">
        <v>33</v>
      </c>
      <c r="B22" s="56">
        <f>+B19</f>
        <v>57425</v>
      </c>
      <c r="C22" s="56">
        <f>+C19</f>
        <v>33866.130000000005</v>
      </c>
      <c r="D22" s="56">
        <f>D19</f>
        <v>23558.87</v>
      </c>
      <c r="E22" s="55">
        <f>+E19</f>
        <v>2443.2800000000002</v>
      </c>
      <c r="F22" s="55">
        <f t="shared" ref="F22:P22" si="3">+F19</f>
        <v>1940.08</v>
      </c>
      <c r="G22" s="55">
        <f t="shared" si="3"/>
        <v>1211</v>
      </c>
      <c r="H22" s="55">
        <f t="shared" si="3"/>
        <v>9169.6</v>
      </c>
      <c r="I22" s="55">
        <f t="shared" si="3"/>
        <v>2108.31</v>
      </c>
      <c r="J22" s="55">
        <f t="shared" si="3"/>
        <v>5067</v>
      </c>
      <c r="K22" s="55">
        <f t="shared" si="3"/>
        <v>4832.1100000000006</v>
      </c>
      <c r="L22" s="55">
        <f t="shared" si="3"/>
        <v>2414</v>
      </c>
      <c r="M22" s="55">
        <f t="shared" si="3"/>
        <v>1150.5</v>
      </c>
      <c r="N22" s="55">
        <f t="shared" si="3"/>
        <v>3530.25</v>
      </c>
      <c r="O22" s="55">
        <f t="shared" si="3"/>
        <v>0</v>
      </c>
      <c r="P22" s="55">
        <f t="shared" si="3"/>
        <v>0</v>
      </c>
      <c r="Q22" s="36"/>
      <c r="R22" s="50"/>
      <c r="S22" s="50"/>
      <c r="T22" s="50"/>
      <c r="U22" s="50"/>
      <c r="V22" s="50"/>
      <c r="W22" s="50"/>
      <c r="X22" s="50"/>
      <c r="Y22" s="50"/>
      <c r="Z22" s="50"/>
      <c r="AA22" s="50"/>
      <c r="AB22" s="50"/>
      <c r="AC22" s="50"/>
      <c r="AD22" s="50"/>
      <c r="AE22" s="50"/>
      <c r="AF22" s="50"/>
      <c r="AG22" s="50"/>
      <c r="AH22" s="50"/>
      <c r="AI22" s="50"/>
      <c r="AJ22" s="50"/>
      <c r="AK22" s="50"/>
      <c r="AL22" s="50"/>
      <c r="AM22" s="50"/>
    </row>
    <row r="23" spans="1:39" x14ac:dyDescent="0.35">
      <c r="A23" s="54" t="s">
        <v>34</v>
      </c>
      <c r="B23" s="53">
        <f>+'EXPENSES-p2'!B42</f>
        <v>57425</v>
      </c>
      <c r="C23" s="158">
        <f>SUM(E23:P23)</f>
        <v>40248.159999999996</v>
      </c>
      <c r="D23" s="52">
        <f>+B23-C23</f>
        <v>17176.840000000004</v>
      </c>
      <c r="E23" s="51">
        <f>+'EXPENSES-p2'!E42</f>
        <v>1048.45</v>
      </c>
      <c r="F23" s="51">
        <f>+'EXPENSES-p2'!F42</f>
        <v>3662.55</v>
      </c>
      <c r="G23" s="51">
        <f>+'EXPENSES-p2'!G42</f>
        <v>9850.93</v>
      </c>
      <c r="H23" s="51">
        <f>+'EXPENSES-p2'!H42</f>
        <v>2027.42</v>
      </c>
      <c r="I23" s="51">
        <f>+'EXPENSES-p2'!I42</f>
        <v>1811.9099999999999</v>
      </c>
      <c r="J23" s="51">
        <f>+'EXPENSES-p2'!J42</f>
        <v>4288.53</v>
      </c>
      <c r="K23" s="51">
        <f>+'EXPENSES-p2'!K42</f>
        <v>5951.01</v>
      </c>
      <c r="L23" s="51">
        <f>+'EXPENSES-p2'!L42</f>
        <v>74.41</v>
      </c>
      <c r="M23" s="51">
        <f>+'EXPENSES-p2'!M42</f>
        <v>3200.2</v>
      </c>
      <c r="N23" s="51">
        <f>+'EXPENSES-p2'!N42</f>
        <v>8332.75</v>
      </c>
      <c r="O23" s="51">
        <f>+'EXPENSES-p2'!O42</f>
        <v>0</v>
      </c>
      <c r="P23" s="51">
        <f>+'EXPENSES-p2'!P42</f>
        <v>0</v>
      </c>
      <c r="Q23" s="35"/>
      <c r="R23" s="50"/>
      <c r="S23" s="50"/>
      <c r="T23" s="50"/>
      <c r="U23" s="50"/>
      <c r="V23" s="50"/>
      <c r="W23" s="50"/>
      <c r="X23" s="50"/>
      <c r="Y23" s="50"/>
      <c r="Z23" s="50"/>
      <c r="AA23" s="50"/>
      <c r="AB23" s="50"/>
      <c r="AC23" s="50"/>
      <c r="AD23" s="50"/>
      <c r="AE23" s="50"/>
      <c r="AF23" s="50"/>
      <c r="AG23" s="50"/>
      <c r="AH23" s="50"/>
      <c r="AI23" s="50"/>
      <c r="AJ23" s="50"/>
      <c r="AK23" s="50"/>
      <c r="AL23" s="50"/>
      <c r="AM23" s="50"/>
    </row>
    <row r="24" spans="1:39" s="42" customFormat="1" ht="22.5" customHeight="1" thickBot="1" x14ac:dyDescent="0.4">
      <c r="A24" s="49" t="s">
        <v>35</v>
      </c>
      <c r="B24" s="48">
        <f>SUM(B22-B23)</f>
        <v>0</v>
      </c>
      <c r="C24" s="47">
        <f>SUM(C22-C23)</f>
        <v>-6382.0299999999916</v>
      </c>
      <c r="D24" s="46">
        <f>SUM(D22-D23)</f>
        <v>6382.0299999999952</v>
      </c>
      <c r="E24" s="45">
        <f>SUM(E22-E23)</f>
        <v>1394.8300000000002</v>
      </c>
      <c r="F24" s="45">
        <f t="shared" ref="F24:P24" si="4">SUM(F22-F23)</f>
        <v>-1722.4700000000003</v>
      </c>
      <c r="G24" s="45">
        <f t="shared" si="4"/>
        <v>-8639.93</v>
      </c>
      <c r="H24" s="45">
        <f t="shared" si="4"/>
        <v>7142.18</v>
      </c>
      <c r="I24" s="45">
        <f t="shared" si="4"/>
        <v>296.40000000000009</v>
      </c>
      <c r="J24" s="45">
        <f t="shared" si="4"/>
        <v>778.47000000000025</v>
      </c>
      <c r="K24" s="45">
        <f t="shared" si="4"/>
        <v>-1118.8999999999996</v>
      </c>
      <c r="L24" s="45">
        <f t="shared" si="4"/>
        <v>2339.59</v>
      </c>
      <c r="M24" s="45">
        <f t="shared" si="4"/>
        <v>-2049.6999999999998</v>
      </c>
      <c r="N24" s="45">
        <f t="shared" si="4"/>
        <v>-4802.5</v>
      </c>
      <c r="O24" s="45">
        <f t="shared" si="4"/>
        <v>0</v>
      </c>
      <c r="P24" s="45">
        <f t="shared" si="4"/>
        <v>0</v>
      </c>
      <c r="Q24" s="44"/>
      <c r="R24" s="43"/>
      <c r="S24" s="43"/>
      <c r="T24" s="43"/>
      <c r="U24" s="43"/>
      <c r="V24" s="43"/>
      <c r="W24" s="43"/>
      <c r="X24" s="43"/>
      <c r="Y24" s="43"/>
      <c r="Z24" s="43"/>
      <c r="AA24" s="43"/>
      <c r="AB24" s="43"/>
      <c r="AC24" s="43"/>
      <c r="AD24" s="43"/>
      <c r="AE24" s="43"/>
      <c r="AF24" s="43"/>
      <c r="AG24" s="43"/>
      <c r="AH24" s="43"/>
      <c r="AI24" s="43"/>
      <c r="AJ24" s="43"/>
      <c r="AK24" s="43"/>
      <c r="AL24" s="43"/>
      <c r="AM24" s="43"/>
    </row>
    <row r="25" spans="1:39" ht="15.5" thickTop="1" thickBot="1" x14ac:dyDescent="0.4">
      <c r="A25" s="26"/>
      <c r="B25" s="29"/>
      <c r="D25" s="31"/>
      <c r="E25" s="37"/>
      <c r="F25" s="37"/>
      <c r="G25" s="37"/>
      <c r="H25" s="37"/>
      <c r="Q25" s="35"/>
    </row>
    <row r="26" spans="1:39" ht="15" thickBot="1" x14ac:dyDescent="0.4">
      <c r="A26" s="41" t="s">
        <v>36</v>
      </c>
      <c r="B26" s="40"/>
      <c r="C26" s="39"/>
      <c r="D26" s="38">
        <f>+'January 2024'!C4</f>
        <v>34517.660000000003</v>
      </c>
      <c r="E26" s="38">
        <f>+D26+E24</f>
        <v>35912.490000000005</v>
      </c>
      <c r="F26" s="38">
        <f t="shared" ref="F26:P26" si="5">+E26+F24</f>
        <v>34190.020000000004</v>
      </c>
      <c r="G26" s="38">
        <f t="shared" si="5"/>
        <v>25550.090000000004</v>
      </c>
      <c r="H26" s="38">
        <f t="shared" si="5"/>
        <v>32692.270000000004</v>
      </c>
      <c r="I26" s="38">
        <f t="shared" si="5"/>
        <v>32988.670000000006</v>
      </c>
      <c r="J26" s="38">
        <f t="shared" si="5"/>
        <v>33767.140000000007</v>
      </c>
      <c r="K26" s="38">
        <f t="shared" si="5"/>
        <v>32648.240000000005</v>
      </c>
      <c r="L26" s="38">
        <f t="shared" si="5"/>
        <v>34987.83</v>
      </c>
      <c r="M26" s="38">
        <f t="shared" si="5"/>
        <v>32938.130000000005</v>
      </c>
      <c r="N26" s="196">
        <f t="shared" si="5"/>
        <v>28135.630000000005</v>
      </c>
      <c r="O26" s="38">
        <f t="shared" si="5"/>
        <v>28135.630000000005</v>
      </c>
      <c r="P26" s="38">
        <f t="shared" si="5"/>
        <v>28135.630000000005</v>
      </c>
    </row>
    <row r="27" spans="1:39" x14ac:dyDescent="0.35">
      <c r="A27" s="26"/>
      <c r="B27" s="29" t="s">
        <v>23</v>
      </c>
      <c r="C27" t="s">
        <v>23</v>
      </c>
      <c r="D27" s="36"/>
      <c r="F27" s="36"/>
      <c r="G27" s="117"/>
      <c r="M27" s="190"/>
      <c r="N27" s="194"/>
    </row>
    <row r="28" spans="1:39" ht="18" x14ac:dyDescent="0.4">
      <c r="A28" s="155" t="s">
        <v>37</v>
      </c>
      <c r="B28" s="153" t="s">
        <v>38</v>
      </c>
      <c r="C28" s="153" t="s">
        <v>39</v>
      </c>
      <c r="D28" s="153"/>
      <c r="E28" s="148"/>
      <c r="F28" s="36"/>
      <c r="G28" s="149"/>
      <c r="I28" s="150"/>
      <c r="J28" s="151"/>
      <c r="K28" s="151"/>
      <c r="L28" s="42"/>
    </row>
    <row r="29" spans="1:39" x14ac:dyDescent="0.35">
      <c r="B29" s="154" t="s">
        <v>202</v>
      </c>
      <c r="C29" s="154" t="s">
        <v>40</v>
      </c>
      <c r="D29" s="154" t="s">
        <v>41</v>
      </c>
      <c r="E29" s="152"/>
      <c r="J29" s="151"/>
      <c r="K29" s="151"/>
    </row>
    <row r="30" spans="1:39" x14ac:dyDescent="0.35">
      <c r="A30" s="26" t="s">
        <v>43</v>
      </c>
      <c r="B30" s="146">
        <f>+D26</f>
        <v>34517.660000000003</v>
      </c>
      <c r="C30" s="146">
        <v>35223.25</v>
      </c>
      <c r="D30" s="146">
        <f t="shared" ref="D30:D35" si="6">+B30-C30</f>
        <v>-705.58999999999651</v>
      </c>
      <c r="E30" s="148"/>
      <c r="F30" s="37"/>
      <c r="J30" s="156"/>
      <c r="K30" s="148"/>
      <c r="L30" s="42"/>
      <c r="N30" s="156" t="s">
        <v>42</v>
      </c>
      <c r="O30" s="148"/>
    </row>
    <row r="31" spans="1:39" x14ac:dyDescent="0.35">
      <c r="A31" s="148" t="s">
        <v>44</v>
      </c>
      <c r="B31" s="146">
        <f>+C5</f>
        <v>22260.68</v>
      </c>
      <c r="C31" s="146">
        <v>19037.07</v>
      </c>
      <c r="D31" s="146">
        <f t="shared" si="6"/>
        <v>3223.6100000000006</v>
      </c>
      <c r="E31" s="148"/>
      <c r="F31" s="148"/>
      <c r="K31" s="148"/>
      <c r="L31" s="214" t="s">
        <v>201</v>
      </c>
      <c r="M31" s="148"/>
      <c r="N31" s="151"/>
      <c r="O31" s="148"/>
    </row>
    <row r="32" spans="1:39" x14ac:dyDescent="0.35">
      <c r="A32" s="26" t="s">
        <v>45</v>
      </c>
      <c r="B32" s="146">
        <f>+C7+C8</f>
        <v>2105.4499999999998</v>
      </c>
      <c r="C32" s="146">
        <v>1879.97</v>
      </c>
      <c r="D32" s="146">
        <f t="shared" si="6"/>
        <v>225.47999999999979</v>
      </c>
      <c r="F32" s="148"/>
      <c r="K32" s="174" t="s">
        <v>46</v>
      </c>
      <c r="L32" s="183">
        <f>+'2024 Check Register-p3'!E132</f>
        <v>28605.9</v>
      </c>
      <c r="M32" s="148"/>
      <c r="N32" s="148"/>
      <c r="O32" s="148"/>
    </row>
    <row r="33" spans="1:15" x14ac:dyDescent="0.35">
      <c r="A33" s="145" t="s">
        <v>47</v>
      </c>
      <c r="B33" s="146">
        <f>-'EXPENSES-p2'!C33</f>
        <v>-26464.379999999997</v>
      </c>
      <c r="C33" s="146">
        <v>-20115.060000000001</v>
      </c>
      <c r="D33" s="146">
        <f t="shared" si="6"/>
        <v>-6349.3199999999961</v>
      </c>
      <c r="E33" s="148" t="s">
        <v>369</v>
      </c>
      <c r="F33" s="148"/>
      <c r="K33" s="174" t="s">
        <v>48</v>
      </c>
      <c r="L33" s="183">
        <f>+'2024 Check Register-p3'!E133</f>
        <v>-470.27</v>
      </c>
      <c r="M33" s="148" t="s">
        <v>49</v>
      </c>
      <c r="N33" s="148"/>
      <c r="O33" s="148"/>
    </row>
    <row r="34" spans="1:15" ht="15" thickBot="1" x14ac:dyDescent="0.4">
      <c r="A34" s="145" t="s">
        <v>50</v>
      </c>
      <c r="B34" s="146">
        <f>-'EXPENSES-p2'!C40+'INCOME-p1'!C12+'INCOME-p1'!C13+C16</f>
        <v>-4283.7799999999988</v>
      </c>
      <c r="C34" s="146">
        <v>-4255.8</v>
      </c>
      <c r="D34" s="146">
        <f t="shared" si="6"/>
        <v>-27.979999999998654</v>
      </c>
      <c r="E34" s="148"/>
      <c r="F34" s="148"/>
      <c r="K34" s="174" t="s">
        <v>52</v>
      </c>
      <c r="L34" s="184">
        <f>+L32+L33</f>
        <v>28135.63</v>
      </c>
      <c r="M34" s="148"/>
      <c r="N34" s="148"/>
      <c r="O34" s="148"/>
    </row>
    <row r="35" spans="1:15" ht="15.5" thickTop="1" thickBot="1" x14ac:dyDescent="0.4">
      <c r="A35" s="145" t="s">
        <v>51</v>
      </c>
      <c r="B35" s="197">
        <f>SUM(B30:B34)</f>
        <v>28135.630000000005</v>
      </c>
      <c r="C35" s="147">
        <f>SUM(C30:C34)</f>
        <v>31769.429999999997</v>
      </c>
      <c r="D35" s="197">
        <f t="shared" si="6"/>
        <v>-3633.799999999992</v>
      </c>
      <c r="E35" s="148"/>
      <c r="F35" s="148"/>
      <c r="K35" s="174" t="s">
        <v>53</v>
      </c>
      <c r="L35" s="245">
        <f>+L34-N26</f>
        <v>0</v>
      </c>
      <c r="M35" s="148"/>
      <c r="N35" s="148"/>
      <c r="O35" s="148"/>
    </row>
    <row r="36" spans="1:15" ht="15" thickTop="1" x14ac:dyDescent="0.35">
      <c r="A36" s="26"/>
      <c r="B36" s="29"/>
      <c r="C36" s="148"/>
      <c r="D36" s="148"/>
      <c r="E36" s="148"/>
      <c r="F36" s="148"/>
      <c r="G36" s="148"/>
      <c r="H36" s="150"/>
      <c r="I36" s="150"/>
      <c r="J36" s="150"/>
      <c r="M36" s="148"/>
      <c r="N36" s="148"/>
      <c r="O36" s="148"/>
    </row>
    <row r="37" spans="1:15" x14ac:dyDescent="0.35">
      <c r="A37" s="26"/>
      <c r="B37" s="29"/>
      <c r="C37" s="152"/>
      <c r="D37" s="148"/>
      <c r="E37" s="148"/>
      <c r="F37" s="148"/>
      <c r="G37" s="148"/>
      <c r="H37" s="150"/>
      <c r="I37" s="150"/>
      <c r="J37" s="150"/>
      <c r="K37" s="148"/>
      <c r="L37" s="230"/>
      <c r="M37" s="148"/>
    </row>
    <row r="38" spans="1:15" x14ac:dyDescent="0.35">
      <c r="A38" s="26"/>
      <c r="B38" s="29"/>
      <c r="C38" s="188"/>
      <c r="D38" s="150"/>
      <c r="E38" s="150"/>
      <c r="F38" s="150"/>
      <c r="G38" s="150"/>
      <c r="H38" s="226"/>
      <c r="I38" s="226"/>
      <c r="J38" s="226"/>
      <c r="K38" s="174"/>
      <c r="L38" s="231"/>
    </row>
    <row r="39" spans="1:15" x14ac:dyDescent="0.35">
      <c r="A39" s="26"/>
      <c r="B39" s="29"/>
      <c r="H39" s="117"/>
      <c r="I39" s="117"/>
      <c r="J39" s="117"/>
      <c r="K39" s="174"/>
      <c r="L39" s="212"/>
    </row>
    <row r="40" spans="1:15" x14ac:dyDescent="0.35">
      <c r="A40" s="26"/>
      <c r="B40" s="29"/>
      <c r="H40" s="117"/>
      <c r="I40" s="117"/>
      <c r="J40" s="117"/>
      <c r="K40" s="174"/>
      <c r="L40" s="212"/>
    </row>
    <row r="41" spans="1:15" x14ac:dyDescent="0.35">
      <c r="A41" s="34"/>
      <c r="B41" s="34"/>
      <c r="C41" s="32"/>
      <c r="H41" s="117"/>
      <c r="I41" s="117"/>
      <c r="J41" s="117"/>
    </row>
    <row r="42" spans="1:15" x14ac:dyDescent="0.35">
      <c r="A42" s="32"/>
      <c r="B42" s="32"/>
      <c r="C42" s="32"/>
      <c r="H42" s="117"/>
      <c r="I42" s="117"/>
      <c r="J42" s="117"/>
    </row>
    <row r="43" spans="1:15" x14ac:dyDescent="0.35">
      <c r="A43" s="33"/>
      <c r="B43" s="32"/>
      <c r="C43" s="31"/>
      <c r="D43" s="122"/>
      <c r="H43" s="117"/>
      <c r="I43" s="117"/>
      <c r="J43" s="117"/>
    </row>
    <row r="44" spans="1:15" x14ac:dyDescent="0.35">
      <c r="A44" s="26"/>
      <c r="B44" s="29"/>
      <c r="H44" s="117"/>
      <c r="I44" s="117"/>
      <c r="J44" s="117"/>
    </row>
    <row r="45" spans="1:15" x14ac:dyDescent="0.35">
      <c r="A45" s="26"/>
      <c r="B45" s="29"/>
      <c r="H45" s="117"/>
      <c r="I45" s="117"/>
      <c r="J45" s="117"/>
    </row>
    <row r="46" spans="1:15" x14ac:dyDescent="0.35">
      <c r="A46" s="26"/>
      <c r="B46" s="29"/>
      <c r="H46" s="117"/>
      <c r="I46" s="117"/>
      <c r="J46" s="117"/>
    </row>
    <row r="47" spans="1:15" x14ac:dyDescent="0.35">
      <c r="A47" s="26"/>
      <c r="B47" s="29"/>
      <c r="H47" s="117"/>
      <c r="I47" s="117"/>
      <c r="J47" s="117"/>
    </row>
    <row r="48" spans="1:15" x14ac:dyDescent="0.35">
      <c r="A48" s="26"/>
      <c r="B48" s="29"/>
      <c r="H48" s="117"/>
      <c r="I48" s="117"/>
      <c r="J48" s="117"/>
    </row>
    <row r="49" spans="1:10" x14ac:dyDescent="0.35">
      <c r="A49" s="26"/>
      <c r="B49" s="29"/>
      <c r="H49" s="117"/>
      <c r="I49" s="117"/>
      <c r="J49" s="117"/>
    </row>
    <row r="50" spans="1:10" x14ac:dyDescent="0.35">
      <c r="A50" s="26"/>
      <c r="B50" s="29"/>
      <c r="H50" s="117"/>
      <c r="I50" s="117"/>
      <c r="J50" s="117"/>
    </row>
    <row r="51" spans="1:10" x14ac:dyDescent="0.35">
      <c r="A51" s="26"/>
      <c r="B51" s="29"/>
      <c r="H51" s="117"/>
      <c r="I51" s="117"/>
      <c r="J51" s="117"/>
    </row>
    <row r="52" spans="1:10" x14ac:dyDescent="0.35">
      <c r="A52" s="26"/>
      <c r="B52" s="29"/>
      <c r="H52" s="117"/>
      <c r="I52" s="117"/>
      <c r="J52" s="117"/>
    </row>
    <row r="53" spans="1:10" x14ac:dyDescent="0.35">
      <c r="A53" s="26"/>
      <c r="B53" s="29"/>
    </row>
    <row r="54" spans="1:10" x14ac:dyDescent="0.35">
      <c r="A54" s="26"/>
      <c r="B54" s="29"/>
    </row>
    <row r="55" spans="1:10" x14ac:dyDescent="0.35">
      <c r="A55" s="26"/>
      <c r="B55" s="29"/>
    </row>
    <row r="56" spans="1:10" x14ac:dyDescent="0.35">
      <c r="A56" s="26"/>
      <c r="B56" s="29"/>
    </row>
    <row r="57" spans="1:10" x14ac:dyDescent="0.35">
      <c r="A57" s="26"/>
      <c r="B57" s="29"/>
    </row>
    <row r="58" spans="1:10" x14ac:dyDescent="0.35">
      <c r="A58" s="26"/>
      <c r="B58" s="29"/>
    </row>
    <row r="59" spans="1:10" x14ac:dyDescent="0.35">
      <c r="A59" s="26"/>
      <c r="B59" s="29"/>
    </row>
    <row r="60" spans="1:10" ht="15" x14ac:dyDescent="0.4">
      <c r="A60" s="26"/>
      <c r="B60" s="30"/>
    </row>
    <row r="61" spans="1:10" ht="15" x14ac:dyDescent="0.4">
      <c r="A61" s="26"/>
      <c r="B61" s="30"/>
    </row>
    <row r="62" spans="1:10" ht="15" x14ac:dyDescent="0.4">
      <c r="A62" s="26"/>
      <c r="B62" s="30"/>
    </row>
    <row r="63" spans="1:10" x14ac:dyDescent="0.35">
      <c r="A63" s="26"/>
      <c r="B63" s="29"/>
    </row>
  </sheetData>
  <mergeCells count="2">
    <mergeCell ref="B2:P2"/>
    <mergeCell ref="A2:A3"/>
  </mergeCells>
  <pageMargins left="0.7" right="0.7" top="0.75" bottom="0.75" header="0.3" footer="0.3"/>
  <pageSetup scale="57"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68C35-C25A-468E-A567-38BFC6EB4917}">
  <sheetPr>
    <tabColor rgb="FF00B0F0"/>
    <pageSetUpPr fitToPage="1"/>
  </sheetPr>
  <dimension ref="A1:P51"/>
  <sheetViews>
    <sheetView topLeftCell="A27" zoomScaleNormal="100" workbookViewId="0">
      <selection activeCell="C39" sqref="C39:D39"/>
    </sheetView>
  </sheetViews>
  <sheetFormatPr defaultRowHeight="14.5" x14ac:dyDescent="0.35"/>
  <cols>
    <col min="1" max="1" width="42.54296875" customWidth="1"/>
    <col min="2" max="2" width="15.54296875" customWidth="1"/>
    <col min="3" max="3" width="20.1796875" customWidth="1"/>
    <col min="4" max="4" width="30" customWidth="1"/>
  </cols>
  <sheetData>
    <row r="1" spans="1:16" ht="23.5" x14ac:dyDescent="0.55000000000000004">
      <c r="D1" s="173"/>
    </row>
    <row r="2" spans="1:16" x14ac:dyDescent="0.35">
      <c r="A2" s="4" t="s">
        <v>174</v>
      </c>
      <c r="B2" s="2"/>
      <c r="C2" s="2"/>
      <c r="D2" s="5"/>
      <c r="E2" s="2"/>
      <c r="F2" s="2"/>
      <c r="G2" s="2"/>
      <c r="H2" s="2"/>
      <c r="I2" s="2"/>
      <c r="J2" s="2"/>
      <c r="K2" s="2"/>
      <c r="L2" s="2"/>
      <c r="M2" s="2"/>
      <c r="N2" s="2"/>
      <c r="O2" s="2"/>
      <c r="P2" s="2"/>
    </row>
    <row r="3" spans="1:16" x14ac:dyDescent="0.35">
      <c r="A3" s="1"/>
      <c r="B3" s="6"/>
      <c r="C3" s="7"/>
      <c r="D3" s="7"/>
      <c r="E3" s="7"/>
      <c r="F3" s="7"/>
      <c r="G3" s="7"/>
      <c r="H3" s="7"/>
      <c r="I3" s="7"/>
      <c r="J3" s="7"/>
      <c r="K3" s="7"/>
      <c r="L3" s="7"/>
      <c r="M3" s="7"/>
      <c r="N3" s="7"/>
      <c r="O3" s="7"/>
      <c r="P3" s="7"/>
    </row>
    <row r="4" spans="1:16" ht="15" thickBot="1" x14ac:dyDescent="0.4">
      <c r="A4" s="8" t="s">
        <v>175</v>
      </c>
      <c r="B4" s="6"/>
      <c r="C4" s="9">
        <f>+'June 2024'!C50</f>
        <v>33767.14</v>
      </c>
      <c r="D4" s="7"/>
      <c r="E4" s="7"/>
      <c r="F4" s="7"/>
      <c r="G4" s="7"/>
      <c r="H4" s="7"/>
      <c r="I4" s="7"/>
      <c r="J4" s="7"/>
      <c r="K4" s="7"/>
      <c r="L4" s="7"/>
      <c r="M4" s="7"/>
      <c r="N4" s="7"/>
      <c r="O4" s="7"/>
      <c r="P4" s="7"/>
    </row>
    <row r="5" spans="1:16" x14ac:dyDescent="0.35">
      <c r="A5" s="10" t="s">
        <v>33</v>
      </c>
      <c r="B5" s="6"/>
      <c r="C5" s="7"/>
      <c r="D5" s="7"/>
      <c r="E5" s="7"/>
      <c r="F5" s="7"/>
      <c r="G5" s="7"/>
      <c r="H5" s="7"/>
      <c r="I5" s="7"/>
      <c r="J5" s="7"/>
      <c r="K5" s="7"/>
      <c r="L5" s="7"/>
      <c r="M5" s="7"/>
      <c r="N5" s="7"/>
      <c r="O5" s="7"/>
      <c r="P5" s="7"/>
    </row>
    <row r="6" spans="1:16" x14ac:dyDescent="0.35">
      <c r="A6" s="11" t="s">
        <v>17</v>
      </c>
      <c r="B6" s="12">
        <f>3828.11-3025.45+1004</f>
        <v>1806.6600000000003</v>
      </c>
      <c r="C6" s="7"/>
      <c r="D6" s="7"/>
      <c r="E6" s="7"/>
      <c r="F6" s="7"/>
      <c r="G6" s="7"/>
      <c r="H6" s="7"/>
      <c r="I6" s="7"/>
      <c r="J6" s="7"/>
      <c r="K6" s="7"/>
      <c r="L6" s="7"/>
      <c r="M6" s="7"/>
      <c r="N6" s="7"/>
      <c r="O6" s="7"/>
      <c r="P6" s="7"/>
    </row>
    <row r="7" spans="1:16" x14ac:dyDescent="0.35">
      <c r="A7" s="11" t="s">
        <v>114</v>
      </c>
      <c r="B7" s="12"/>
      <c r="C7" s="7"/>
      <c r="D7" s="7"/>
      <c r="E7" s="7"/>
      <c r="F7" s="7"/>
      <c r="G7" s="7"/>
      <c r="H7" s="7"/>
      <c r="I7" s="7"/>
      <c r="J7" s="7"/>
      <c r="K7" s="7"/>
      <c r="L7" s="7"/>
      <c r="M7" s="7"/>
      <c r="N7" s="7"/>
      <c r="O7" s="7"/>
      <c r="P7" s="7"/>
    </row>
    <row r="8" spans="1:16" x14ac:dyDescent="0.35">
      <c r="A8" s="11" t="s">
        <v>268</v>
      </c>
      <c r="B8" s="12">
        <f>3025.45-2000</f>
        <v>1025.4499999999998</v>
      </c>
      <c r="C8" s="7"/>
      <c r="D8" s="7"/>
      <c r="E8" s="7"/>
      <c r="F8" s="7"/>
      <c r="G8" s="7"/>
      <c r="H8" s="7"/>
      <c r="I8" s="7"/>
      <c r="J8" s="7"/>
      <c r="K8" s="7"/>
      <c r="L8" s="7"/>
      <c r="M8" s="7"/>
      <c r="N8" s="7"/>
      <c r="O8" s="7"/>
      <c r="P8" s="7"/>
    </row>
    <row r="9" spans="1:16" x14ac:dyDescent="0.35">
      <c r="A9" s="11" t="s">
        <v>116</v>
      </c>
      <c r="B9" s="12">
        <v>2000</v>
      </c>
      <c r="C9" s="7"/>
      <c r="D9" s="7"/>
      <c r="E9" s="7"/>
      <c r="F9" s="7"/>
      <c r="G9" s="7"/>
      <c r="H9" s="7"/>
      <c r="I9" s="7"/>
      <c r="J9" s="7"/>
      <c r="K9" s="7"/>
      <c r="L9" s="7"/>
      <c r="M9" s="7"/>
      <c r="N9" s="7"/>
      <c r="O9" s="7"/>
      <c r="P9" s="7"/>
    </row>
    <row r="10" spans="1:16" x14ac:dyDescent="0.35">
      <c r="A10" s="11" t="s">
        <v>117</v>
      </c>
      <c r="B10" s="12">
        <v>0</v>
      </c>
      <c r="C10" s="7"/>
      <c r="D10" s="7"/>
      <c r="E10" s="7"/>
      <c r="F10" s="7"/>
      <c r="G10" s="7"/>
      <c r="H10" s="7"/>
      <c r="I10" s="7"/>
      <c r="J10" s="7"/>
      <c r="K10" s="7"/>
      <c r="L10" s="7"/>
      <c r="M10" s="7"/>
      <c r="N10" s="7"/>
      <c r="O10" s="7"/>
      <c r="P10" s="7"/>
    </row>
    <row r="11" spans="1:16" ht="17" x14ac:dyDescent="0.6">
      <c r="A11" s="13" t="s">
        <v>118</v>
      </c>
      <c r="B11" s="14" t="s">
        <v>119</v>
      </c>
      <c r="C11" s="15">
        <f>SUM(B6:B10)</f>
        <v>4832.1100000000006</v>
      </c>
      <c r="D11" s="7"/>
      <c r="E11" s="7"/>
      <c r="F11" s="7"/>
      <c r="G11" s="7"/>
      <c r="H11" s="7"/>
      <c r="I11" s="7"/>
      <c r="J11" s="7"/>
      <c r="K11" s="7"/>
      <c r="L11" s="7"/>
      <c r="M11" s="7"/>
      <c r="N11" s="7"/>
      <c r="O11" s="7"/>
      <c r="P11" s="7"/>
    </row>
    <row r="12" spans="1:16" x14ac:dyDescent="0.35">
      <c r="A12" s="1"/>
      <c r="B12" s="16"/>
      <c r="C12" s="7"/>
      <c r="D12" s="7"/>
      <c r="E12" s="7"/>
      <c r="F12" s="7"/>
      <c r="G12" s="7"/>
      <c r="H12" s="7"/>
      <c r="I12" s="7"/>
      <c r="J12" s="7"/>
      <c r="K12" s="7"/>
      <c r="L12" s="7"/>
      <c r="M12" s="7"/>
      <c r="N12" s="7"/>
      <c r="O12" s="7"/>
      <c r="P12" s="7"/>
    </row>
    <row r="13" spans="1:16" x14ac:dyDescent="0.35">
      <c r="A13" s="10" t="s">
        <v>34</v>
      </c>
      <c r="B13" s="16"/>
      <c r="C13" s="7"/>
      <c r="D13" s="7"/>
      <c r="E13" s="7"/>
      <c r="F13" s="7"/>
      <c r="G13" s="7"/>
      <c r="H13" s="7"/>
      <c r="I13" s="7"/>
      <c r="J13" s="7"/>
      <c r="K13" s="7"/>
      <c r="L13" s="7"/>
      <c r="M13" s="7"/>
      <c r="N13" s="7"/>
      <c r="O13" s="7"/>
      <c r="P13" s="7"/>
    </row>
    <row r="14" spans="1:16" x14ac:dyDescent="0.35">
      <c r="A14" s="11" t="s">
        <v>57</v>
      </c>
      <c r="B14" s="237">
        <f>36.48+32</f>
        <v>68.47999999999999</v>
      </c>
      <c r="C14" s="238" t="s">
        <v>310</v>
      </c>
      <c r="D14" s="238"/>
      <c r="E14" s="7"/>
      <c r="F14" s="7"/>
      <c r="G14" s="7"/>
      <c r="H14" s="7"/>
      <c r="I14" s="7"/>
      <c r="J14" s="7"/>
      <c r="K14" s="7"/>
      <c r="L14" s="7"/>
      <c r="M14" s="7"/>
      <c r="N14" s="7"/>
      <c r="O14" s="7"/>
      <c r="P14" s="7"/>
    </row>
    <row r="15" spans="1:16" x14ac:dyDescent="0.35">
      <c r="A15" s="11" t="s">
        <v>58</v>
      </c>
      <c r="B15" s="17"/>
      <c r="C15" s="7"/>
      <c r="D15" s="7"/>
      <c r="E15" s="7"/>
      <c r="F15" s="7"/>
      <c r="G15" s="7"/>
      <c r="H15" s="7"/>
      <c r="I15" s="7"/>
      <c r="J15" s="7"/>
      <c r="K15" s="7"/>
      <c r="L15" s="7"/>
      <c r="M15" s="7"/>
      <c r="N15" s="7"/>
      <c r="O15" s="7"/>
      <c r="P15" s="7"/>
    </row>
    <row r="16" spans="1:16" x14ac:dyDescent="0.35">
      <c r="A16" s="11" t="s">
        <v>59</v>
      </c>
      <c r="B16" s="17">
        <f>8.5+208.05</f>
        <v>216.55</v>
      </c>
      <c r="C16" s="238" t="s">
        <v>305</v>
      </c>
      <c r="D16" s="238"/>
      <c r="E16" s="7"/>
      <c r="F16" s="7"/>
      <c r="G16" s="7"/>
      <c r="H16" s="7"/>
      <c r="I16" s="7"/>
      <c r="J16" s="7"/>
      <c r="K16" s="7"/>
      <c r="L16" s="7"/>
      <c r="M16" s="7"/>
      <c r="N16" s="7"/>
      <c r="O16" s="7"/>
      <c r="P16" s="7"/>
    </row>
    <row r="17" spans="1:16" x14ac:dyDescent="0.35">
      <c r="A17" s="11" t="s">
        <v>120</v>
      </c>
      <c r="B17" s="237">
        <v>29.78</v>
      </c>
      <c r="C17" s="239" t="s">
        <v>307</v>
      </c>
      <c r="D17" s="240"/>
      <c r="E17" s="7"/>
      <c r="F17" s="7"/>
      <c r="G17" s="7"/>
      <c r="H17" s="7"/>
      <c r="I17" s="7"/>
      <c r="J17" s="7"/>
      <c r="K17" s="7"/>
      <c r="L17" s="7"/>
      <c r="M17" s="7"/>
      <c r="N17" s="7"/>
      <c r="O17" s="7"/>
      <c r="P17" s="7"/>
    </row>
    <row r="18" spans="1:16" x14ac:dyDescent="0.35">
      <c r="A18" s="11" t="s">
        <v>61</v>
      </c>
      <c r="B18" s="17">
        <v>29.86</v>
      </c>
      <c r="C18" s="7"/>
      <c r="D18" s="7"/>
      <c r="E18" s="7"/>
      <c r="F18" s="7"/>
      <c r="G18" s="7"/>
      <c r="H18" s="7"/>
      <c r="I18" s="7"/>
      <c r="J18" s="7"/>
      <c r="K18" s="7"/>
      <c r="L18" s="7"/>
      <c r="M18" s="7"/>
      <c r="N18" s="7"/>
      <c r="O18" s="7"/>
      <c r="P18" s="7"/>
    </row>
    <row r="19" spans="1:16" x14ac:dyDescent="0.35">
      <c r="A19" s="11" t="s">
        <v>62</v>
      </c>
      <c r="B19" s="17">
        <v>80.790000000000006</v>
      </c>
      <c r="C19" s="239" t="s">
        <v>304</v>
      </c>
      <c r="D19" s="240"/>
      <c r="E19" s="7"/>
      <c r="F19" s="7"/>
      <c r="G19" s="7"/>
      <c r="H19" s="7"/>
      <c r="I19" s="7"/>
      <c r="J19" s="7"/>
      <c r="K19" s="7"/>
      <c r="L19" s="7"/>
      <c r="M19" s="7"/>
      <c r="N19" s="7"/>
      <c r="O19" s="7"/>
      <c r="P19" s="7"/>
    </row>
    <row r="20" spans="1:16" x14ac:dyDescent="0.35">
      <c r="A20" s="11" t="s">
        <v>63</v>
      </c>
      <c r="B20" s="17"/>
      <c r="C20" s="7"/>
      <c r="D20" s="7"/>
      <c r="E20" s="7"/>
      <c r="F20" s="7"/>
      <c r="G20" s="7"/>
      <c r="H20" s="7"/>
      <c r="I20" s="7"/>
      <c r="J20" s="7"/>
      <c r="K20" s="7"/>
      <c r="L20" s="7"/>
      <c r="M20" s="7"/>
      <c r="N20" s="7"/>
      <c r="O20" s="7"/>
      <c r="P20" s="7"/>
    </row>
    <row r="21" spans="1:16" x14ac:dyDescent="0.35">
      <c r="A21" s="11" t="s">
        <v>64</v>
      </c>
      <c r="B21" s="17">
        <v>270.52999999999997</v>
      </c>
      <c r="C21" s="239" t="s">
        <v>302</v>
      </c>
      <c r="D21" s="240"/>
      <c r="E21" s="7"/>
      <c r="F21" s="7"/>
      <c r="G21" s="7"/>
      <c r="H21" s="7"/>
      <c r="I21" s="7"/>
      <c r="J21" s="7"/>
      <c r="K21" s="7"/>
      <c r="L21" s="7"/>
      <c r="M21" s="7"/>
      <c r="N21" s="7"/>
      <c r="O21" s="7"/>
      <c r="P21" s="7"/>
    </row>
    <row r="22" spans="1:16" x14ac:dyDescent="0.35">
      <c r="A22" s="11" t="s">
        <v>121</v>
      </c>
      <c r="B22" s="17"/>
      <c r="C22" s="7"/>
      <c r="D22" s="7"/>
      <c r="E22" s="7"/>
      <c r="F22" s="7"/>
      <c r="G22" s="7"/>
      <c r="H22" s="7"/>
      <c r="I22" s="7"/>
      <c r="J22" s="7"/>
      <c r="K22" s="7"/>
      <c r="L22" s="7"/>
      <c r="M22" s="7"/>
      <c r="N22" s="7"/>
      <c r="O22" s="7"/>
      <c r="P22" s="7"/>
    </row>
    <row r="23" spans="1:16" x14ac:dyDescent="0.35">
      <c r="A23" s="11" t="s">
        <v>66</v>
      </c>
      <c r="B23" s="17"/>
      <c r="C23" s="7"/>
      <c r="D23" s="7"/>
      <c r="E23" s="7"/>
      <c r="F23" s="7"/>
      <c r="G23" s="7"/>
      <c r="H23" s="7"/>
      <c r="I23" s="7"/>
      <c r="J23" s="7"/>
      <c r="K23" s="7"/>
      <c r="L23" s="7"/>
      <c r="M23" s="7"/>
      <c r="N23" s="7"/>
      <c r="O23" s="7"/>
      <c r="P23" s="7"/>
    </row>
    <row r="24" spans="1:16" x14ac:dyDescent="0.35">
      <c r="A24" s="11" t="s">
        <v>67</v>
      </c>
      <c r="B24" s="17"/>
      <c r="C24" s="7"/>
      <c r="D24" s="7"/>
      <c r="E24" s="7"/>
      <c r="F24" s="7"/>
      <c r="G24" s="7"/>
      <c r="H24" s="7"/>
      <c r="I24" s="7"/>
      <c r="J24" s="7"/>
      <c r="K24" s="7"/>
      <c r="L24" s="7"/>
      <c r="M24" s="7"/>
      <c r="N24" s="7"/>
      <c r="O24" s="7"/>
      <c r="P24" s="7"/>
    </row>
    <row r="25" spans="1:16" x14ac:dyDescent="0.35">
      <c r="A25" s="11" t="s">
        <v>68</v>
      </c>
      <c r="B25" s="17"/>
      <c r="C25" s="7"/>
      <c r="D25" s="7"/>
      <c r="E25" s="7"/>
      <c r="F25" s="7"/>
      <c r="G25" s="7"/>
      <c r="H25" s="7"/>
      <c r="I25" s="7"/>
      <c r="J25" s="7"/>
      <c r="K25" s="7"/>
      <c r="L25" s="7"/>
      <c r="M25" s="7"/>
      <c r="N25" s="7"/>
      <c r="O25" s="7"/>
      <c r="P25" s="7"/>
    </row>
    <row r="26" spans="1:16" x14ac:dyDescent="0.35">
      <c r="A26" s="11" t="s">
        <v>69</v>
      </c>
      <c r="B26" s="17"/>
      <c r="C26" s="7"/>
      <c r="D26" s="7"/>
      <c r="E26" s="7"/>
      <c r="F26" s="7"/>
      <c r="G26" s="7"/>
      <c r="H26" s="7"/>
      <c r="I26" s="7"/>
      <c r="J26" s="7"/>
      <c r="K26" s="7"/>
      <c r="L26" s="7"/>
      <c r="M26" s="7"/>
      <c r="N26" s="7"/>
      <c r="O26" s="7"/>
      <c r="P26" s="7"/>
    </row>
    <row r="27" spans="1:16" x14ac:dyDescent="0.35">
      <c r="A27" s="11" t="s">
        <v>122</v>
      </c>
      <c r="B27" s="17"/>
      <c r="C27" s="7"/>
      <c r="D27" s="7"/>
      <c r="E27" s="7"/>
      <c r="F27" s="7"/>
      <c r="G27" s="7"/>
      <c r="H27" s="7"/>
      <c r="I27" s="7"/>
      <c r="J27" s="7"/>
      <c r="K27" s="7"/>
      <c r="L27" s="7"/>
      <c r="M27" s="7"/>
      <c r="N27" s="7"/>
      <c r="O27" s="7"/>
      <c r="P27" s="7"/>
    </row>
    <row r="28" spans="1:16" x14ac:dyDescent="0.35">
      <c r="A28" s="11" t="s">
        <v>123</v>
      </c>
      <c r="B28" s="17"/>
      <c r="C28" s="7"/>
      <c r="D28" s="7"/>
      <c r="E28" s="7"/>
      <c r="F28" s="7"/>
      <c r="G28" s="7"/>
      <c r="H28" s="7"/>
      <c r="I28" s="7"/>
      <c r="J28" s="7"/>
      <c r="K28" s="7"/>
      <c r="L28" s="7"/>
      <c r="M28" s="7"/>
      <c r="N28" s="7"/>
      <c r="O28" s="7"/>
      <c r="P28" s="7"/>
    </row>
    <row r="29" spans="1:16" x14ac:dyDescent="0.35">
      <c r="A29" s="11" t="s">
        <v>72</v>
      </c>
      <c r="B29" s="17"/>
      <c r="C29" s="7"/>
      <c r="D29" s="7"/>
      <c r="E29" s="7"/>
      <c r="F29" s="7"/>
      <c r="G29" s="7"/>
      <c r="H29" s="7"/>
      <c r="I29" s="7"/>
      <c r="J29" s="7"/>
      <c r="K29" s="7"/>
      <c r="L29" s="7"/>
      <c r="M29" s="7"/>
      <c r="N29" s="7"/>
      <c r="O29" s="7"/>
      <c r="P29" s="7"/>
    </row>
    <row r="30" spans="1:16" x14ac:dyDescent="0.35">
      <c r="A30" s="11" t="s">
        <v>73</v>
      </c>
      <c r="B30" s="17">
        <v>13</v>
      </c>
      <c r="C30" s="239" t="s">
        <v>309</v>
      </c>
      <c r="D30" s="240"/>
      <c r="E30" s="7"/>
      <c r="F30" s="7"/>
      <c r="G30" s="7"/>
      <c r="H30" s="7"/>
      <c r="I30" s="7"/>
      <c r="J30" s="7"/>
      <c r="K30" s="7"/>
      <c r="L30" s="7"/>
      <c r="M30" s="7"/>
      <c r="N30" s="7"/>
      <c r="O30" s="7"/>
      <c r="P30" s="7"/>
    </row>
    <row r="31" spans="1:16" x14ac:dyDescent="0.35">
      <c r="A31" s="11" t="s">
        <v>74</v>
      </c>
      <c r="B31" s="17">
        <f>+'Mileage-p4'!I19</f>
        <v>77.400000000000006</v>
      </c>
      <c r="C31" s="239" t="s">
        <v>124</v>
      </c>
      <c r="D31" s="240"/>
      <c r="E31" s="7"/>
      <c r="F31" s="7"/>
      <c r="G31" s="7"/>
      <c r="H31" s="7"/>
      <c r="I31" s="7"/>
      <c r="J31" s="7"/>
      <c r="K31" s="7"/>
      <c r="L31" s="7"/>
      <c r="M31" s="7"/>
      <c r="N31" s="7"/>
      <c r="O31" s="7"/>
      <c r="P31" s="7"/>
    </row>
    <row r="32" spans="1:16" x14ac:dyDescent="0.35">
      <c r="A32" s="11" t="s">
        <v>125</v>
      </c>
      <c r="B32" s="237">
        <f>-8.5-8.5-8.5</f>
        <v>-25.5</v>
      </c>
      <c r="C32" s="259" t="s">
        <v>286</v>
      </c>
      <c r="D32" s="259"/>
      <c r="E32" s="7"/>
      <c r="F32" s="7"/>
      <c r="G32" s="7"/>
      <c r="H32" s="7"/>
      <c r="I32" s="7"/>
      <c r="J32" s="7"/>
      <c r="K32" s="7"/>
      <c r="L32" s="7"/>
      <c r="M32" s="7"/>
      <c r="N32" s="7"/>
      <c r="O32" s="7"/>
      <c r="P32" s="7"/>
    </row>
    <row r="33" spans="1:16" x14ac:dyDescent="0.35">
      <c r="A33" s="11" t="s">
        <v>76</v>
      </c>
      <c r="B33" s="17"/>
      <c r="C33" s="7"/>
      <c r="D33" s="7"/>
      <c r="E33" s="7"/>
      <c r="F33" s="7"/>
      <c r="G33" s="7"/>
      <c r="H33" s="7"/>
      <c r="I33" s="7"/>
      <c r="J33" s="7"/>
      <c r="K33" s="7"/>
      <c r="L33" s="7"/>
      <c r="M33" s="7"/>
      <c r="N33" s="7"/>
      <c r="O33" s="7"/>
      <c r="P33" s="7"/>
    </row>
    <row r="34" spans="1:16" x14ac:dyDescent="0.35">
      <c r="A34" s="11" t="s">
        <v>77</v>
      </c>
      <c r="B34" s="17"/>
      <c r="C34" s="7"/>
      <c r="D34" s="7"/>
      <c r="E34" s="7"/>
      <c r="F34" s="7"/>
      <c r="G34" s="7"/>
      <c r="H34" s="7"/>
      <c r="I34" s="7"/>
      <c r="J34" s="7"/>
      <c r="K34" s="7"/>
      <c r="L34" s="7"/>
      <c r="M34" s="7"/>
      <c r="N34" s="7"/>
      <c r="O34" s="7"/>
      <c r="P34" s="7"/>
    </row>
    <row r="35" spans="1:16" x14ac:dyDescent="0.35">
      <c r="A35" s="11" t="s">
        <v>54</v>
      </c>
      <c r="B35" s="17">
        <v>190.12</v>
      </c>
      <c r="C35" s="7"/>
      <c r="D35" s="7"/>
      <c r="E35" s="7"/>
      <c r="F35" s="7"/>
      <c r="G35" s="7"/>
      <c r="H35" s="7"/>
      <c r="I35" s="7"/>
      <c r="J35" s="7"/>
      <c r="K35" s="7"/>
      <c r="L35" s="7"/>
      <c r="M35" s="7"/>
      <c r="N35" s="7"/>
      <c r="O35" s="7"/>
      <c r="P35" s="7"/>
    </row>
    <row r="36" spans="1:16" x14ac:dyDescent="0.35">
      <c r="A36" s="11" t="s">
        <v>78</v>
      </c>
      <c r="B36" s="17"/>
      <c r="C36" s="7"/>
      <c r="D36" s="7"/>
      <c r="E36" s="7"/>
      <c r="F36" s="7"/>
      <c r="G36" s="7"/>
      <c r="H36" s="7"/>
      <c r="I36" s="7"/>
      <c r="J36" s="7"/>
      <c r="K36" s="7"/>
      <c r="L36" s="7"/>
      <c r="M36" s="7"/>
      <c r="N36" s="7"/>
      <c r="O36" s="7"/>
      <c r="P36" s="7"/>
    </row>
    <row r="37" spans="1:16" x14ac:dyDescent="0.35">
      <c r="A37" s="11" t="s">
        <v>79</v>
      </c>
      <c r="B37" s="17"/>
      <c r="C37" s="7"/>
      <c r="D37" s="7"/>
      <c r="E37" s="7"/>
      <c r="F37" s="7"/>
      <c r="G37" s="7"/>
      <c r="H37" s="7"/>
      <c r="I37" s="7"/>
      <c r="J37" s="7"/>
      <c r="K37" s="7"/>
      <c r="L37" s="7"/>
      <c r="M37" s="7"/>
      <c r="N37" s="7"/>
      <c r="O37" s="7"/>
      <c r="P37" s="7"/>
    </row>
    <row r="38" spans="1:16" x14ac:dyDescent="0.35">
      <c r="A38" s="25" t="s">
        <v>80</v>
      </c>
      <c r="B38" s="17"/>
      <c r="C38" s="7"/>
      <c r="D38" s="7"/>
      <c r="E38" s="7"/>
      <c r="F38" s="7"/>
      <c r="G38" s="7"/>
      <c r="H38" s="7"/>
      <c r="I38" s="7"/>
      <c r="J38" s="7"/>
      <c r="K38" s="7"/>
      <c r="L38" s="7"/>
      <c r="M38" s="7"/>
      <c r="N38" s="7"/>
      <c r="O38" s="7"/>
      <c r="P38" s="7"/>
    </row>
    <row r="39" spans="1:16" ht="35.5" customHeight="1" x14ac:dyDescent="0.35">
      <c r="A39" s="11" t="s">
        <v>81</v>
      </c>
      <c r="B39" s="237"/>
      <c r="C39" s="259" t="s">
        <v>375</v>
      </c>
      <c r="D39" s="259"/>
      <c r="E39" s="7"/>
      <c r="F39" s="7"/>
      <c r="G39" s="7"/>
      <c r="H39" s="7"/>
      <c r="I39" s="7"/>
      <c r="J39" s="7"/>
      <c r="K39" s="7"/>
      <c r="L39" s="7"/>
      <c r="M39" s="7"/>
      <c r="N39" s="7"/>
      <c r="O39" s="7"/>
      <c r="P39" s="7"/>
    </row>
    <row r="40" spans="1:16" x14ac:dyDescent="0.35">
      <c r="A40" s="11" t="s">
        <v>82</v>
      </c>
      <c r="B40" s="17"/>
      <c r="C40" s="2"/>
      <c r="D40" s="2"/>
      <c r="E40" s="2"/>
      <c r="F40" s="2"/>
      <c r="G40" s="2"/>
      <c r="H40" s="2"/>
      <c r="I40" s="2"/>
      <c r="J40" s="2"/>
      <c r="K40" s="2"/>
      <c r="L40" s="2"/>
      <c r="M40" s="2"/>
      <c r="N40" s="2"/>
      <c r="O40" s="2"/>
      <c r="P40" s="2"/>
    </row>
    <row r="41" spans="1:16" x14ac:dyDescent="0.35">
      <c r="A41" s="25" t="s">
        <v>83</v>
      </c>
      <c r="B41" s="17"/>
      <c r="C41" s="2"/>
      <c r="D41" s="2"/>
      <c r="E41" s="2"/>
      <c r="F41" s="2"/>
      <c r="G41" s="2"/>
      <c r="H41" s="2"/>
      <c r="I41" s="2"/>
      <c r="J41" s="2"/>
      <c r="K41" s="2"/>
      <c r="L41" s="2"/>
      <c r="M41" s="2"/>
      <c r="N41" s="2"/>
      <c r="O41" s="2"/>
      <c r="P41" s="2"/>
    </row>
    <row r="42" spans="1:16" x14ac:dyDescent="0.35">
      <c r="A42" s="27" t="s">
        <v>24</v>
      </c>
      <c r="B42" s="28"/>
      <c r="C42" s="2"/>
      <c r="D42" s="2"/>
      <c r="E42" s="2"/>
      <c r="F42" s="2"/>
      <c r="G42" s="2"/>
      <c r="H42" s="2"/>
      <c r="I42" s="2"/>
      <c r="J42" s="2"/>
      <c r="K42" s="2"/>
      <c r="L42" s="2"/>
      <c r="M42" s="2"/>
      <c r="N42" s="2"/>
      <c r="O42" s="2"/>
      <c r="P42" s="2"/>
    </row>
    <row r="43" spans="1:16" ht="28" customHeight="1" x14ac:dyDescent="0.35">
      <c r="A43" s="11" t="s">
        <v>126</v>
      </c>
      <c r="B43" s="237">
        <f>500+500+4000</f>
        <v>5000</v>
      </c>
      <c r="C43" s="259" t="s">
        <v>303</v>
      </c>
      <c r="D43" s="259"/>
      <c r="E43" s="2"/>
      <c r="F43" s="2"/>
      <c r="G43" s="2"/>
      <c r="H43" s="2"/>
      <c r="I43" s="2"/>
      <c r="J43" s="2"/>
      <c r="K43" s="2"/>
      <c r="L43" s="2"/>
      <c r="M43" s="2"/>
      <c r="N43" s="2"/>
      <c r="O43" s="2"/>
      <c r="P43" s="2"/>
    </row>
    <row r="44" spans="1:16" x14ac:dyDescent="0.35">
      <c r="A44" s="11" t="s">
        <v>86</v>
      </c>
      <c r="B44" s="17"/>
      <c r="C44" s="2"/>
      <c r="D44" s="2"/>
      <c r="E44" s="2"/>
      <c r="F44" s="2"/>
      <c r="G44" s="2"/>
      <c r="H44" s="2"/>
      <c r="I44" s="2"/>
      <c r="J44" s="2"/>
      <c r="K44" s="2"/>
      <c r="L44" s="2"/>
      <c r="M44" s="2"/>
      <c r="N44" s="2"/>
      <c r="O44" s="2"/>
      <c r="P44" s="2"/>
    </row>
    <row r="45" spans="1:16" x14ac:dyDescent="0.35">
      <c r="A45" s="11" t="s">
        <v>87</v>
      </c>
      <c r="B45" s="17"/>
      <c r="C45" s="2"/>
      <c r="D45" s="2"/>
      <c r="E45" s="2"/>
      <c r="F45" s="2"/>
      <c r="G45" s="2"/>
      <c r="H45" s="2"/>
      <c r="I45" s="2"/>
      <c r="J45" s="2"/>
      <c r="K45" s="2"/>
      <c r="L45" s="2"/>
      <c r="M45" s="2"/>
      <c r="N45" s="2"/>
      <c r="O45" s="2"/>
      <c r="P45" s="2"/>
    </row>
    <row r="46" spans="1:16" x14ac:dyDescent="0.35">
      <c r="A46" s="11" t="s">
        <v>28</v>
      </c>
      <c r="B46" s="17"/>
      <c r="C46" s="2"/>
      <c r="D46" s="2"/>
      <c r="E46" s="2"/>
      <c r="F46" s="2"/>
      <c r="G46" s="2"/>
      <c r="H46" s="2"/>
      <c r="I46" s="2"/>
      <c r="J46" s="2"/>
      <c r="K46" s="2"/>
      <c r="L46" s="2"/>
      <c r="M46" s="2"/>
      <c r="N46" s="2"/>
      <c r="O46" s="2"/>
      <c r="P46" s="2"/>
    </row>
    <row r="47" spans="1:16" x14ac:dyDescent="0.35">
      <c r="A47" s="25" t="s">
        <v>88</v>
      </c>
      <c r="B47" s="17"/>
      <c r="C47" s="2"/>
      <c r="D47" s="2"/>
      <c r="E47" s="2"/>
      <c r="F47" s="2"/>
      <c r="G47" s="2"/>
      <c r="H47" s="2"/>
      <c r="I47" s="2"/>
      <c r="J47" s="2"/>
      <c r="K47" s="2"/>
      <c r="L47" s="2"/>
      <c r="M47" s="2"/>
      <c r="N47" s="2"/>
      <c r="O47" s="2"/>
      <c r="P47" s="2"/>
    </row>
    <row r="48" spans="1:16" ht="17" x14ac:dyDescent="0.6">
      <c r="A48" s="13" t="s">
        <v>90</v>
      </c>
      <c r="B48" s="19" t="s">
        <v>127</v>
      </c>
      <c r="C48" s="20">
        <f>SUM(B14:B47)</f>
        <v>5951.01</v>
      </c>
    </row>
    <row r="49" spans="1:3" x14ac:dyDescent="0.35">
      <c r="A49" s="2"/>
      <c r="B49" s="6"/>
      <c r="C49" s="2"/>
    </row>
    <row r="50" spans="1:3" ht="15" thickBot="1" x14ac:dyDescent="0.4">
      <c r="A50" s="18" t="s">
        <v>176</v>
      </c>
      <c r="B50" s="4"/>
      <c r="C50" s="21">
        <f>SUM(C4+C11-C48)</f>
        <v>32648.239999999998</v>
      </c>
    </row>
    <row r="51" spans="1:3" ht="15" thickTop="1" x14ac:dyDescent="0.35"/>
  </sheetData>
  <mergeCells count="3">
    <mergeCell ref="C39:D39"/>
    <mergeCell ref="C43:D43"/>
    <mergeCell ref="C32:D32"/>
  </mergeCells>
  <pageMargins left="0.7" right="0.7" top="0.75" bottom="0.75" header="0.3" footer="0.3"/>
  <pageSetup scale="8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901FDC-AE41-4E15-8CDD-4690C716FF2C}">
  <sheetPr>
    <tabColor rgb="FF00B0F0"/>
    <pageSetUpPr fitToPage="1"/>
  </sheetPr>
  <dimension ref="A1:P51"/>
  <sheetViews>
    <sheetView topLeftCell="A27" zoomScaleNormal="100" workbookViewId="0">
      <selection activeCell="D1" sqref="D1"/>
    </sheetView>
  </sheetViews>
  <sheetFormatPr defaultRowHeight="14.5" x14ac:dyDescent="0.35"/>
  <cols>
    <col min="1" max="1" width="42.54296875" customWidth="1"/>
    <col min="2" max="2" width="15.54296875" customWidth="1"/>
    <col min="3" max="3" width="15.81640625" customWidth="1"/>
    <col min="4" max="4" width="31.453125" customWidth="1"/>
  </cols>
  <sheetData>
    <row r="1" spans="1:16" ht="23.5" x14ac:dyDescent="0.55000000000000004">
      <c r="D1" s="173"/>
    </row>
    <row r="2" spans="1:16" x14ac:dyDescent="0.35">
      <c r="A2" s="4" t="s">
        <v>171</v>
      </c>
      <c r="B2" s="2"/>
      <c r="C2" s="2"/>
      <c r="D2" s="5"/>
      <c r="E2" s="2"/>
      <c r="F2" s="2"/>
      <c r="G2" s="2"/>
      <c r="H2" s="2"/>
      <c r="I2" s="2"/>
      <c r="J2" s="2"/>
      <c r="K2" s="2"/>
      <c r="L2" s="2"/>
      <c r="M2" s="2"/>
      <c r="N2" s="2"/>
      <c r="O2" s="2"/>
      <c r="P2" s="2"/>
    </row>
    <row r="3" spans="1:16" x14ac:dyDescent="0.35">
      <c r="A3" s="1"/>
      <c r="B3" s="6"/>
      <c r="C3" s="7"/>
      <c r="D3" s="7"/>
      <c r="E3" s="7"/>
      <c r="F3" s="7"/>
      <c r="G3" s="7"/>
      <c r="H3" s="7"/>
      <c r="I3" s="7"/>
      <c r="J3" s="7"/>
      <c r="K3" s="7"/>
      <c r="L3" s="7"/>
      <c r="M3" s="7"/>
      <c r="N3" s="7"/>
      <c r="O3" s="7"/>
      <c r="P3" s="7"/>
    </row>
    <row r="4" spans="1:16" ht="15" thickBot="1" x14ac:dyDescent="0.4">
      <c r="A4" s="8" t="s">
        <v>172</v>
      </c>
      <c r="B4" s="6"/>
      <c r="C4" s="9">
        <f>+'May 2024'!C50</f>
        <v>32988.67</v>
      </c>
      <c r="D4" s="7"/>
      <c r="E4" s="7"/>
      <c r="F4" s="7"/>
      <c r="G4" s="7"/>
      <c r="H4" s="7"/>
      <c r="I4" s="7"/>
      <c r="J4" s="7"/>
      <c r="K4" s="7"/>
      <c r="L4" s="7"/>
      <c r="M4" s="7"/>
      <c r="N4" s="7"/>
      <c r="O4" s="7"/>
      <c r="P4" s="7"/>
    </row>
    <row r="5" spans="1:16" x14ac:dyDescent="0.35">
      <c r="A5" s="10" t="s">
        <v>33</v>
      </c>
      <c r="B5" s="6"/>
      <c r="C5" s="7"/>
      <c r="D5" s="7"/>
      <c r="E5" s="7"/>
      <c r="F5" s="7"/>
      <c r="G5" s="7"/>
      <c r="H5" s="7"/>
      <c r="I5" s="7"/>
      <c r="J5" s="7"/>
      <c r="K5" s="7"/>
      <c r="L5" s="7"/>
      <c r="M5" s="7"/>
      <c r="N5" s="7"/>
      <c r="O5" s="7"/>
      <c r="P5" s="7"/>
    </row>
    <row r="6" spans="1:16" x14ac:dyDescent="0.35">
      <c r="A6" s="11" t="s">
        <v>17</v>
      </c>
      <c r="B6" s="12">
        <f>5067-2500</f>
        <v>2567</v>
      </c>
      <c r="C6" s="7"/>
      <c r="E6" s="7" t="s">
        <v>23</v>
      </c>
      <c r="F6" s="7"/>
      <c r="G6" s="7"/>
      <c r="H6" s="7"/>
      <c r="I6" s="7"/>
      <c r="J6" s="7"/>
      <c r="K6" s="7"/>
      <c r="L6" s="7"/>
      <c r="M6" s="7"/>
      <c r="N6" s="7"/>
      <c r="O6" s="7"/>
      <c r="P6" s="7"/>
    </row>
    <row r="7" spans="1:16" x14ac:dyDescent="0.35">
      <c r="A7" s="11" t="s">
        <v>114</v>
      </c>
      <c r="B7" s="12"/>
      <c r="C7" s="7"/>
      <c r="D7" s="7"/>
      <c r="E7" s="7" t="s">
        <v>23</v>
      </c>
      <c r="F7" s="7"/>
      <c r="G7" s="7"/>
      <c r="H7" s="7"/>
      <c r="I7" s="7"/>
      <c r="J7" s="7"/>
      <c r="K7" s="7"/>
      <c r="L7" s="7"/>
      <c r="M7" s="7"/>
      <c r="N7" s="7"/>
      <c r="O7" s="7"/>
      <c r="P7" s="7"/>
    </row>
    <row r="8" spans="1:16" x14ac:dyDescent="0.35">
      <c r="A8" s="11" t="s">
        <v>128</v>
      </c>
      <c r="B8" s="12"/>
      <c r="C8" s="7"/>
      <c r="D8" s="7"/>
      <c r="E8" s="7" t="s">
        <v>23</v>
      </c>
      <c r="F8" s="7"/>
      <c r="G8" s="7"/>
      <c r="H8" s="7"/>
      <c r="I8" s="7"/>
      <c r="J8" s="7"/>
      <c r="K8" s="7"/>
      <c r="L8" s="7"/>
      <c r="M8" s="7"/>
      <c r="N8" s="7"/>
      <c r="O8" s="7"/>
      <c r="P8" s="7"/>
    </row>
    <row r="9" spans="1:16" x14ac:dyDescent="0.35">
      <c r="A9" s="11" t="s">
        <v>116</v>
      </c>
      <c r="B9" s="12">
        <v>2500</v>
      </c>
      <c r="C9" s="7" t="s">
        <v>29</v>
      </c>
      <c r="D9" s="7"/>
      <c r="E9" s="7"/>
      <c r="F9" s="7"/>
      <c r="G9" s="7"/>
      <c r="H9" s="7"/>
      <c r="I9" s="7"/>
      <c r="J9" s="7"/>
      <c r="K9" s="7"/>
      <c r="L9" s="7"/>
      <c r="M9" s="7"/>
      <c r="N9" s="7"/>
      <c r="O9" s="7"/>
      <c r="P9" s="7"/>
    </row>
    <row r="10" spans="1:16" x14ac:dyDescent="0.35">
      <c r="A10" s="11" t="s">
        <v>117</v>
      </c>
      <c r="B10" s="12"/>
      <c r="C10" s="7"/>
      <c r="D10" s="7"/>
      <c r="E10" s="7"/>
      <c r="F10" s="7"/>
      <c r="G10" s="7"/>
      <c r="H10" s="7"/>
      <c r="I10" s="7"/>
      <c r="J10" s="7"/>
      <c r="K10" s="7"/>
      <c r="L10" s="7"/>
      <c r="M10" s="7"/>
      <c r="N10" s="7"/>
      <c r="O10" s="7"/>
      <c r="P10" s="7"/>
    </row>
    <row r="11" spans="1:16" ht="17" x14ac:dyDescent="0.6">
      <c r="A11" s="13" t="s">
        <v>118</v>
      </c>
      <c r="B11" s="14" t="s">
        <v>119</v>
      </c>
      <c r="C11" s="15">
        <f>SUM(B6:B10)</f>
        <v>5067</v>
      </c>
      <c r="D11" s="7"/>
      <c r="E11" s="7"/>
      <c r="F11" s="7"/>
      <c r="G11" s="7"/>
      <c r="H11" s="7"/>
      <c r="I11" s="7"/>
      <c r="J11" s="7"/>
      <c r="K11" s="7"/>
      <c r="L11" s="7"/>
      <c r="M11" s="7"/>
      <c r="N11" s="7"/>
      <c r="O11" s="7"/>
      <c r="P11" s="7"/>
    </row>
    <row r="12" spans="1:16" x14ac:dyDescent="0.35">
      <c r="A12" s="1"/>
      <c r="B12" s="16"/>
      <c r="C12" s="7"/>
      <c r="D12" s="7"/>
      <c r="E12" s="7"/>
      <c r="F12" s="7"/>
      <c r="G12" s="7"/>
      <c r="H12" s="7"/>
      <c r="I12" s="7"/>
      <c r="J12" s="7"/>
      <c r="K12" s="7"/>
      <c r="L12" s="7"/>
      <c r="M12" s="7"/>
      <c r="N12" s="7"/>
      <c r="O12" s="7"/>
      <c r="P12" s="7"/>
    </row>
    <row r="13" spans="1:16" x14ac:dyDescent="0.35">
      <c r="A13" s="10" t="s">
        <v>34</v>
      </c>
      <c r="B13" s="16"/>
      <c r="C13" s="7"/>
      <c r="D13" s="7"/>
      <c r="E13" s="7"/>
      <c r="F13" s="7"/>
      <c r="G13" s="7"/>
      <c r="H13" s="7"/>
      <c r="I13" s="7"/>
      <c r="J13" s="7"/>
      <c r="K13" s="7"/>
      <c r="L13" s="7"/>
      <c r="M13" s="7"/>
      <c r="N13" s="7"/>
      <c r="O13" s="7"/>
      <c r="P13" s="7"/>
    </row>
    <row r="14" spans="1:16" x14ac:dyDescent="0.35">
      <c r="A14" s="11" t="s">
        <v>57</v>
      </c>
      <c r="B14" s="17">
        <f>-'2024 Check Register-p3'!E65-'2024 Check Register-p3'!E66</f>
        <v>645.5</v>
      </c>
      <c r="C14" s="7"/>
      <c r="D14" s="7"/>
      <c r="E14" s="7"/>
      <c r="F14" s="7"/>
      <c r="G14" s="7"/>
      <c r="H14" s="7"/>
      <c r="I14" s="7"/>
      <c r="J14" s="7"/>
      <c r="K14" s="7"/>
      <c r="L14" s="7"/>
      <c r="M14" s="7"/>
      <c r="N14" s="7"/>
      <c r="O14" s="7"/>
      <c r="P14" s="7"/>
    </row>
    <row r="15" spans="1:16" x14ac:dyDescent="0.35">
      <c r="A15" s="11" t="s">
        <v>58</v>
      </c>
      <c r="B15" s="17"/>
      <c r="C15" s="7"/>
      <c r="D15" s="7"/>
      <c r="E15" s="7"/>
      <c r="F15" s="7"/>
      <c r="G15" s="7"/>
      <c r="H15" s="7"/>
      <c r="I15" s="7"/>
      <c r="J15" s="7"/>
      <c r="K15" s="7"/>
      <c r="L15" s="7"/>
      <c r="M15" s="7"/>
      <c r="N15" s="7"/>
      <c r="O15" s="7"/>
      <c r="P15" s="7"/>
    </row>
    <row r="16" spans="1:16" x14ac:dyDescent="0.35">
      <c r="A16" s="11" t="s">
        <v>59</v>
      </c>
      <c r="B16" s="17"/>
      <c r="C16" s="7"/>
      <c r="D16" s="7"/>
      <c r="E16" s="7"/>
      <c r="F16" s="7"/>
      <c r="G16" s="7"/>
      <c r="H16" s="7"/>
      <c r="I16" s="7"/>
      <c r="J16" s="7"/>
      <c r="K16" s="7"/>
      <c r="L16" s="7"/>
      <c r="M16" s="7"/>
      <c r="N16" s="7"/>
      <c r="O16" s="7"/>
      <c r="P16" s="7"/>
    </row>
    <row r="17" spans="1:16" x14ac:dyDescent="0.35">
      <c r="A17" s="11" t="s">
        <v>120</v>
      </c>
      <c r="B17" s="17"/>
      <c r="C17" s="7"/>
      <c r="D17" s="7"/>
      <c r="E17" s="7"/>
      <c r="F17" s="7"/>
      <c r="G17" s="7"/>
      <c r="H17" s="7"/>
      <c r="I17" s="7"/>
      <c r="J17" s="7"/>
      <c r="K17" s="7"/>
      <c r="L17" s="7"/>
      <c r="M17" s="7"/>
      <c r="N17" s="7"/>
      <c r="O17" s="7"/>
      <c r="P17" s="7"/>
    </row>
    <row r="18" spans="1:16" x14ac:dyDescent="0.35">
      <c r="A18" s="11" t="s">
        <v>61</v>
      </c>
      <c r="B18" s="17">
        <f>-'2024 Check Register-p3'!E63</f>
        <v>21.53</v>
      </c>
      <c r="C18" s="7"/>
      <c r="D18" s="7"/>
      <c r="E18" s="7"/>
      <c r="F18" s="7"/>
      <c r="G18" s="7"/>
      <c r="H18" s="7"/>
      <c r="I18" s="7"/>
      <c r="J18" s="7"/>
      <c r="K18" s="7"/>
      <c r="L18" s="7"/>
      <c r="M18" s="7"/>
      <c r="N18" s="7"/>
      <c r="O18" s="7"/>
      <c r="P18" s="7"/>
    </row>
    <row r="19" spans="1:16" x14ac:dyDescent="0.35">
      <c r="A19" s="11" t="s">
        <v>62</v>
      </c>
      <c r="B19" s="17"/>
      <c r="C19" s="7"/>
      <c r="D19" s="7"/>
      <c r="E19" s="7"/>
      <c r="F19" s="7"/>
      <c r="G19" s="7"/>
      <c r="H19" s="7"/>
      <c r="I19" s="7"/>
      <c r="J19" s="7"/>
      <c r="K19" s="7"/>
      <c r="L19" s="7"/>
      <c r="M19" s="7"/>
      <c r="N19" s="7"/>
      <c r="O19" s="7"/>
      <c r="P19" s="7"/>
    </row>
    <row r="20" spans="1:16" x14ac:dyDescent="0.35">
      <c r="A20" s="11" t="s">
        <v>63</v>
      </c>
      <c r="B20" s="17"/>
      <c r="C20" s="7"/>
      <c r="D20" s="7"/>
      <c r="E20" s="7"/>
      <c r="F20" s="7"/>
      <c r="G20" s="7"/>
      <c r="H20" s="7"/>
      <c r="I20" s="7"/>
      <c r="J20" s="7"/>
      <c r="K20" s="7"/>
      <c r="L20" s="7"/>
      <c r="M20" s="7"/>
      <c r="N20" s="7"/>
      <c r="O20" s="7"/>
      <c r="P20" s="7"/>
    </row>
    <row r="21" spans="1:16" x14ac:dyDescent="0.35">
      <c r="A21" s="11" t="s">
        <v>64</v>
      </c>
      <c r="B21" s="17"/>
      <c r="C21" s="7"/>
      <c r="D21" s="7"/>
      <c r="E21" s="7"/>
      <c r="F21" s="7"/>
      <c r="G21" s="7"/>
      <c r="H21" s="7"/>
      <c r="I21" s="7"/>
      <c r="J21" s="7"/>
      <c r="K21" s="7"/>
      <c r="L21" s="7"/>
      <c r="M21" s="7"/>
      <c r="N21" s="7"/>
      <c r="O21" s="7"/>
      <c r="P21" s="7"/>
    </row>
    <row r="22" spans="1:16" x14ac:dyDescent="0.35">
      <c r="A22" s="11" t="s">
        <v>121</v>
      </c>
      <c r="B22" s="17">
        <v>3000</v>
      </c>
      <c r="C22" s="7"/>
      <c r="D22" s="7"/>
      <c r="E22" s="7"/>
      <c r="F22" s="7"/>
      <c r="G22" s="7"/>
      <c r="H22" s="7"/>
      <c r="I22" s="7"/>
      <c r="J22" s="7"/>
      <c r="K22" s="7"/>
      <c r="L22" s="7"/>
      <c r="M22" s="7"/>
      <c r="N22" s="7"/>
      <c r="O22" s="7"/>
      <c r="P22" s="7"/>
    </row>
    <row r="23" spans="1:16" x14ac:dyDescent="0.35">
      <c r="A23" s="11" t="s">
        <v>66</v>
      </c>
      <c r="B23" s="17"/>
      <c r="C23" s="7"/>
      <c r="D23" s="7"/>
      <c r="E23" s="7"/>
      <c r="F23" s="7"/>
      <c r="G23" s="7"/>
      <c r="H23" s="7"/>
      <c r="I23" s="7"/>
      <c r="J23" s="7"/>
      <c r="K23" s="7"/>
      <c r="L23" s="7"/>
      <c r="M23" s="7"/>
      <c r="N23" s="7"/>
      <c r="O23" s="7"/>
      <c r="P23" s="7"/>
    </row>
    <row r="24" spans="1:16" x14ac:dyDescent="0.35">
      <c r="A24" s="11" t="s">
        <v>67</v>
      </c>
      <c r="B24" s="17">
        <v>44</v>
      </c>
      <c r="C24" s="7" t="s">
        <v>267</v>
      </c>
      <c r="D24" s="7"/>
      <c r="E24" s="7"/>
      <c r="F24" s="7"/>
      <c r="G24" s="7"/>
      <c r="H24" s="7"/>
      <c r="I24" s="7"/>
      <c r="J24" s="7"/>
      <c r="K24" s="7"/>
      <c r="L24" s="7"/>
      <c r="M24" s="7"/>
      <c r="N24" s="7"/>
      <c r="O24" s="7"/>
      <c r="P24" s="7"/>
    </row>
    <row r="25" spans="1:16" x14ac:dyDescent="0.35">
      <c r="A25" s="11" t="s">
        <v>68</v>
      </c>
      <c r="B25" s="17"/>
      <c r="C25" s="7"/>
      <c r="D25" s="7"/>
      <c r="E25" s="7"/>
      <c r="F25" s="7"/>
      <c r="G25" s="7"/>
      <c r="H25" s="7"/>
      <c r="I25" s="7"/>
      <c r="J25" s="7"/>
      <c r="K25" s="7"/>
      <c r="L25" s="7"/>
      <c r="M25" s="7"/>
      <c r="N25" s="7"/>
      <c r="O25" s="7"/>
      <c r="P25" s="7"/>
    </row>
    <row r="26" spans="1:16" x14ac:dyDescent="0.35">
      <c r="A26" s="11" t="s">
        <v>69</v>
      </c>
      <c r="B26" s="17"/>
      <c r="C26" s="7"/>
      <c r="D26" s="7"/>
      <c r="E26" s="7"/>
      <c r="F26" s="7"/>
      <c r="G26" s="7"/>
      <c r="H26" s="7"/>
      <c r="I26" s="7"/>
      <c r="J26" s="7"/>
      <c r="K26" s="7"/>
      <c r="L26" s="7"/>
      <c r="M26" s="7"/>
      <c r="N26" s="7"/>
      <c r="O26" s="7"/>
      <c r="P26" s="7"/>
    </row>
    <row r="27" spans="1:16" x14ac:dyDescent="0.35">
      <c r="A27" s="11" t="s">
        <v>122</v>
      </c>
      <c r="B27" s="17"/>
      <c r="C27" s="7"/>
      <c r="D27" s="7"/>
      <c r="E27" s="7"/>
      <c r="F27" s="7"/>
      <c r="G27" s="7"/>
      <c r="H27" s="7"/>
      <c r="I27" s="7"/>
      <c r="J27" s="7"/>
      <c r="K27" s="7"/>
      <c r="L27" s="7"/>
      <c r="M27" s="7"/>
      <c r="N27" s="7"/>
      <c r="O27" s="7"/>
      <c r="P27" s="7"/>
    </row>
    <row r="28" spans="1:16" x14ac:dyDescent="0.35">
      <c r="A28" s="11" t="s">
        <v>123</v>
      </c>
      <c r="B28" s="17"/>
      <c r="C28" s="7"/>
      <c r="D28" s="7"/>
      <c r="E28" s="7"/>
      <c r="F28" s="7"/>
      <c r="G28" s="7"/>
      <c r="H28" s="7"/>
      <c r="I28" s="7"/>
      <c r="J28" s="7"/>
      <c r="K28" s="7"/>
      <c r="L28" s="7"/>
      <c r="M28" s="7"/>
      <c r="N28" s="7"/>
      <c r="O28" s="7"/>
      <c r="P28" s="7"/>
    </row>
    <row r="29" spans="1:16" x14ac:dyDescent="0.35">
      <c r="A29" s="11" t="s">
        <v>72</v>
      </c>
      <c r="B29" s="17"/>
      <c r="C29" s="7"/>
      <c r="D29" s="7"/>
      <c r="E29" s="7"/>
      <c r="F29" s="7"/>
      <c r="G29" s="7"/>
      <c r="H29" s="7"/>
      <c r="I29" s="7"/>
      <c r="J29" s="7"/>
      <c r="K29" s="7"/>
      <c r="L29" s="7"/>
      <c r="M29" s="7"/>
      <c r="N29" s="7"/>
      <c r="O29" s="7"/>
      <c r="P29" s="7"/>
    </row>
    <row r="30" spans="1:16" x14ac:dyDescent="0.35">
      <c r="A30" s="11" t="s">
        <v>73</v>
      </c>
      <c r="B30" s="17"/>
      <c r="C30" s="7"/>
      <c r="D30" s="7"/>
      <c r="E30" s="7"/>
      <c r="F30" s="7"/>
      <c r="G30" s="7"/>
      <c r="H30" s="7"/>
      <c r="I30" s="7"/>
      <c r="J30" s="7"/>
      <c r="K30" s="7"/>
      <c r="L30" s="7"/>
      <c r="M30" s="7"/>
      <c r="N30" s="7"/>
      <c r="O30" s="7"/>
      <c r="P30" s="7"/>
    </row>
    <row r="31" spans="1:16" x14ac:dyDescent="0.35">
      <c r="A31" s="11" t="s">
        <v>74</v>
      </c>
      <c r="B31" s="17">
        <f>+'Mileage-p4'!H19</f>
        <v>45.6</v>
      </c>
      <c r="C31" s="7" t="s">
        <v>124</v>
      </c>
      <c r="D31" s="7"/>
      <c r="E31" s="7"/>
      <c r="F31" s="7"/>
      <c r="G31" s="7"/>
      <c r="H31" s="7"/>
      <c r="I31" s="7"/>
      <c r="J31" s="7"/>
      <c r="K31" s="7"/>
      <c r="L31" s="7"/>
      <c r="M31" s="7"/>
      <c r="N31" s="7"/>
      <c r="O31" s="7"/>
      <c r="P31" s="7"/>
    </row>
    <row r="32" spans="1:16" x14ac:dyDescent="0.35">
      <c r="A32" s="11" t="s">
        <v>125</v>
      </c>
      <c r="B32" s="17"/>
      <c r="C32" s="7"/>
      <c r="D32" s="7"/>
      <c r="E32" s="7"/>
      <c r="F32" s="7"/>
      <c r="G32" s="7"/>
      <c r="H32" s="7"/>
      <c r="I32" s="7"/>
      <c r="J32" s="7"/>
      <c r="K32" s="7"/>
      <c r="L32" s="7"/>
      <c r="M32" s="7"/>
      <c r="N32" s="7"/>
      <c r="O32" s="7"/>
      <c r="P32" s="7"/>
    </row>
    <row r="33" spans="1:16" x14ac:dyDescent="0.35">
      <c r="A33" s="11" t="s">
        <v>76</v>
      </c>
      <c r="B33" s="17"/>
      <c r="C33" s="7"/>
      <c r="D33" s="7"/>
      <c r="E33" s="7"/>
      <c r="F33" s="7"/>
      <c r="G33" s="7"/>
      <c r="H33" s="7"/>
      <c r="I33" s="7"/>
      <c r="J33" s="7"/>
      <c r="K33" s="7"/>
      <c r="L33" s="7"/>
      <c r="M33" s="7"/>
      <c r="N33" s="7"/>
      <c r="O33" s="7"/>
      <c r="P33" s="7"/>
    </row>
    <row r="34" spans="1:16" x14ac:dyDescent="0.35">
      <c r="A34" s="11" t="s">
        <v>77</v>
      </c>
      <c r="B34" s="17">
        <v>110</v>
      </c>
      <c r="C34" s="7"/>
      <c r="D34" s="7"/>
      <c r="E34" s="7"/>
      <c r="F34" s="7"/>
      <c r="G34" s="7"/>
      <c r="H34" s="7"/>
      <c r="I34" s="7"/>
      <c r="J34" s="7"/>
      <c r="K34" s="7"/>
      <c r="L34" s="7"/>
      <c r="M34" s="7"/>
      <c r="N34" s="7"/>
      <c r="O34" s="7"/>
      <c r="P34" s="7"/>
    </row>
    <row r="35" spans="1:16" x14ac:dyDescent="0.35">
      <c r="A35" s="11" t="s">
        <v>54</v>
      </c>
      <c r="B35" s="17">
        <f>422.01-45.6</f>
        <v>376.40999999999997</v>
      </c>
      <c r="C35" s="7"/>
      <c r="D35" s="7"/>
      <c r="E35" s="7"/>
      <c r="F35" s="7"/>
      <c r="G35" s="7"/>
      <c r="H35" s="7"/>
      <c r="I35" s="7"/>
      <c r="J35" s="7"/>
      <c r="K35" s="7"/>
      <c r="L35" s="7"/>
      <c r="M35" s="7"/>
      <c r="N35" s="7"/>
      <c r="O35" s="7"/>
      <c r="P35" s="7"/>
    </row>
    <row r="36" spans="1:16" x14ac:dyDescent="0.35">
      <c r="A36" s="11" t="s">
        <v>78</v>
      </c>
      <c r="B36" s="17"/>
      <c r="C36" s="7"/>
      <c r="D36" s="7"/>
      <c r="E36" s="7"/>
      <c r="F36" s="7"/>
      <c r="G36" s="7"/>
      <c r="H36" s="7"/>
      <c r="I36" s="7"/>
      <c r="J36" s="7"/>
      <c r="K36" s="7"/>
      <c r="L36" s="7"/>
      <c r="M36" s="7"/>
      <c r="N36" s="7"/>
      <c r="O36" s="7"/>
      <c r="P36" s="7"/>
    </row>
    <row r="37" spans="1:16" x14ac:dyDescent="0.35">
      <c r="A37" s="11" t="s">
        <v>79</v>
      </c>
      <c r="B37" s="17"/>
      <c r="C37" s="7"/>
      <c r="D37" s="7"/>
      <c r="E37" s="7"/>
      <c r="F37" s="7"/>
      <c r="G37" s="7"/>
      <c r="H37" s="7"/>
      <c r="I37" s="7"/>
      <c r="J37" s="7"/>
      <c r="K37" s="7"/>
      <c r="L37" s="7"/>
      <c r="M37" s="7"/>
      <c r="N37" s="7"/>
      <c r="O37" s="7"/>
      <c r="P37" s="7"/>
    </row>
    <row r="38" spans="1:16" x14ac:dyDescent="0.35">
      <c r="A38" s="25" t="s">
        <v>80</v>
      </c>
      <c r="B38" s="17"/>
      <c r="C38" s="7"/>
      <c r="D38" s="7"/>
      <c r="E38" s="7"/>
      <c r="F38" s="7"/>
      <c r="G38" s="7"/>
      <c r="H38" s="7"/>
      <c r="I38" s="7"/>
      <c r="J38" s="7"/>
      <c r="K38" s="7"/>
      <c r="L38" s="7"/>
      <c r="M38" s="7"/>
      <c r="N38" s="7"/>
      <c r="O38" s="7"/>
      <c r="P38" s="7"/>
    </row>
    <row r="39" spans="1:16" x14ac:dyDescent="0.35">
      <c r="A39" s="11" t="s">
        <v>81</v>
      </c>
      <c r="B39" s="17">
        <f>31.89+13.6</f>
        <v>45.49</v>
      </c>
      <c r="C39" s="2" t="s">
        <v>266</v>
      </c>
      <c r="D39" s="2"/>
      <c r="E39" s="2"/>
      <c r="F39" s="2"/>
      <c r="G39" s="2"/>
      <c r="H39" s="2"/>
      <c r="I39" s="2"/>
      <c r="J39" s="2"/>
      <c r="K39" s="2"/>
      <c r="L39" s="2"/>
      <c r="M39" s="2"/>
      <c r="N39" s="2"/>
      <c r="O39" s="2"/>
      <c r="P39" s="2"/>
    </row>
    <row r="40" spans="1:16" x14ac:dyDescent="0.35">
      <c r="A40" s="11" t="s">
        <v>82</v>
      </c>
      <c r="B40" s="17"/>
      <c r="C40" s="2"/>
      <c r="D40" s="2"/>
      <c r="E40" s="2"/>
      <c r="F40" s="2"/>
      <c r="G40" s="2"/>
      <c r="H40" s="2"/>
      <c r="I40" s="2"/>
      <c r="J40" s="2"/>
      <c r="K40" s="2"/>
      <c r="L40" s="2"/>
      <c r="M40" s="2"/>
      <c r="N40" s="2"/>
      <c r="O40" s="2"/>
      <c r="P40" s="2"/>
    </row>
    <row r="41" spans="1:16" x14ac:dyDescent="0.35">
      <c r="A41" s="25" t="s">
        <v>83</v>
      </c>
      <c r="B41" s="17"/>
      <c r="C41" s="2"/>
      <c r="D41" s="2"/>
      <c r="E41" s="2"/>
      <c r="F41" s="2"/>
      <c r="G41" s="2"/>
      <c r="H41" s="2"/>
      <c r="I41" s="2"/>
      <c r="J41" s="2"/>
      <c r="K41" s="2"/>
      <c r="L41" s="2"/>
      <c r="M41" s="2"/>
      <c r="N41" s="2"/>
      <c r="O41" s="2"/>
      <c r="P41" s="2"/>
    </row>
    <row r="42" spans="1:16" x14ac:dyDescent="0.35">
      <c r="A42" s="27" t="s">
        <v>24</v>
      </c>
      <c r="B42" s="28"/>
      <c r="C42" s="2"/>
      <c r="D42" s="2"/>
      <c r="E42" s="2"/>
      <c r="F42" s="2"/>
      <c r="G42" s="2"/>
      <c r="H42" s="2"/>
      <c r="I42" s="2"/>
      <c r="J42" s="2"/>
      <c r="K42" s="2"/>
      <c r="L42" s="2"/>
      <c r="M42" s="2"/>
      <c r="N42" s="2"/>
      <c r="O42" s="2"/>
      <c r="P42" s="2"/>
    </row>
    <row r="43" spans="1:16" x14ac:dyDescent="0.35">
      <c r="A43" s="11" t="s">
        <v>126</v>
      </c>
      <c r="B43" s="17"/>
      <c r="C43" s="2"/>
      <c r="D43" s="2"/>
      <c r="E43" s="2"/>
      <c r="F43" s="2"/>
      <c r="G43" s="2"/>
      <c r="H43" s="2"/>
      <c r="I43" s="2"/>
      <c r="J43" s="2"/>
      <c r="K43" s="2"/>
      <c r="L43" s="2"/>
      <c r="M43" s="2"/>
      <c r="N43" s="2"/>
      <c r="O43" s="2"/>
      <c r="P43" s="2"/>
    </row>
    <row r="44" spans="1:16" x14ac:dyDescent="0.35">
      <c r="A44" s="11" t="s">
        <v>86</v>
      </c>
      <c r="B44" s="17"/>
      <c r="C44" s="2"/>
      <c r="D44" s="2"/>
      <c r="E44" s="2"/>
      <c r="F44" s="2"/>
      <c r="G44" s="2"/>
      <c r="H44" s="2"/>
      <c r="I44" s="2"/>
      <c r="J44" s="2"/>
      <c r="K44" s="2"/>
      <c r="L44" s="2"/>
      <c r="M44" s="2"/>
      <c r="N44" s="2"/>
      <c r="O44" s="2"/>
      <c r="P44" s="2"/>
    </row>
    <row r="45" spans="1:16" x14ac:dyDescent="0.35">
      <c r="A45" s="11" t="s">
        <v>87</v>
      </c>
      <c r="B45" s="17"/>
      <c r="C45" s="2"/>
      <c r="D45" s="2"/>
      <c r="E45" s="2"/>
      <c r="F45" s="2"/>
      <c r="G45" s="2"/>
      <c r="H45" s="2"/>
      <c r="I45" s="2"/>
      <c r="J45" s="2"/>
      <c r="K45" s="2"/>
      <c r="L45" s="2"/>
      <c r="M45" s="2"/>
      <c r="N45" s="2"/>
      <c r="O45" s="2"/>
      <c r="P45" s="2"/>
    </row>
    <row r="46" spans="1:16" x14ac:dyDescent="0.35">
      <c r="A46" s="11" t="s">
        <v>28</v>
      </c>
      <c r="B46" s="17"/>
      <c r="C46" s="2"/>
      <c r="D46" s="2"/>
      <c r="E46" s="2"/>
      <c r="F46" s="2"/>
      <c r="G46" s="2"/>
      <c r="H46" s="2"/>
      <c r="I46" s="2"/>
      <c r="J46" s="2"/>
      <c r="K46" s="2"/>
      <c r="L46" s="2"/>
      <c r="M46" s="2"/>
      <c r="N46" s="2"/>
      <c r="O46" s="2"/>
      <c r="P46" s="2"/>
    </row>
    <row r="47" spans="1:16" x14ac:dyDescent="0.35">
      <c r="A47" s="25" t="s">
        <v>88</v>
      </c>
      <c r="B47" s="17"/>
      <c r="C47" s="2"/>
      <c r="D47" s="2"/>
      <c r="E47" s="2"/>
      <c r="F47" s="2"/>
      <c r="G47" s="2"/>
      <c r="H47" s="2"/>
      <c r="I47" s="2"/>
      <c r="J47" s="2"/>
      <c r="K47" s="2"/>
      <c r="L47" s="2"/>
      <c r="M47" s="2"/>
      <c r="N47" s="2"/>
      <c r="O47" s="2"/>
      <c r="P47" s="2"/>
    </row>
    <row r="48" spans="1:16" ht="17" x14ac:dyDescent="0.6">
      <c r="A48" s="13" t="s">
        <v>90</v>
      </c>
      <c r="B48" s="19" t="s">
        <v>127</v>
      </c>
      <c r="C48" s="20">
        <f>SUM(B14:B47)</f>
        <v>4288.53</v>
      </c>
    </row>
    <row r="49" spans="1:3" x14ac:dyDescent="0.35">
      <c r="A49" s="2"/>
      <c r="B49" s="6"/>
      <c r="C49" s="2"/>
    </row>
    <row r="50" spans="1:3" ht="15" thickBot="1" x14ac:dyDescent="0.4">
      <c r="A50" s="18" t="s">
        <v>173</v>
      </c>
      <c r="B50" s="4"/>
      <c r="C50" s="21">
        <f>SUM(C4+C11-C48)</f>
        <v>33767.14</v>
      </c>
    </row>
    <row r="51" spans="1:3" ht="15" thickTop="1" x14ac:dyDescent="0.35"/>
  </sheetData>
  <pageMargins left="0.7" right="0.7" top="0.75" bottom="0.75" header="0.3" footer="0.3"/>
  <pageSetup scale="85" orientation="portrait" verticalDpi="300"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8D3EC-0E91-4404-A0EF-604D96E75E84}">
  <sheetPr>
    <tabColor rgb="FF00B0F0"/>
    <pageSetUpPr fitToPage="1"/>
  </sheetPr>
  <dimension ref="A1:P52"/>
  <sheetViews>
    <sheetView topLeftCell="A29" zoomScaleNormal="100" workbookViewId="0">
      <selection activeCell="C39" sqref="C39"/>
    </sheetView>
  </sheetViews>
  <sheetFormatPr defaultRowHeight="14.5" x14ac:dyDescent="0.35"/>
  <cols>
    <col min="1" max="1" width="42.54296875" customWidth="1"/>
    <col min="2" max="2" width="15.54296875" customWidth="1"/>
    <col min="3" max="3" width="30.26953125" customWidth="1"/>
    <col min="4" max="4" width="33.1796875" customWidth="1"/>
  </cols>
  <sheetData>
    <row r="1" spans="1:16" ht="23.5" x14ac:dyDescent="0.55000000000000004">
      <c r="A1" s="127"/>
      <c r="B1" s="2"/>
      <c r="C1" s="2"/>
      <c r="D1" s="173"/>
      <c r="E1" s="2"/>
      <c r="F1" s="2"/>
      <c r="G1" s="2"/>
      <c r="H1" s="2"/>
      <c r="I1" s="2"/>
      <c r="J1" s="2"/>
      <c r="K1" s="2"/>
      <c r="L1" s="2"/>
      <c r="M1" s="2"/>
      <c r="N1" s="2"/>
      <c r="O1" s="2"/>
      <c r="P1" s="2"/>
    </row>
    <row r="2" spans="1:16" x14ac:dyDescent="0.35">
      <c r="A2" s="4" t="s">
        <v>168</v>
      </c>
      <c r="B2" s="2"/>
      <c r="C2" s="2"/>
      <c r="D2" s="5"/>
      <c r="E2" s="2"/>
      <c r="F2" s="2"/>
      <c r="G2" s="2"/>
      <c r="H2" s="2"/>
      <c r="I2" s="2"/>
      <c r="J2" s="2"/>
      <c r="K2" s="2"/>
      <c r="L2" s="2"/>
      <c r="M2" s="2"/>
      <c r="N2" s="2"/>
      <c r="O2" s="2"/>
      <c r="P2" s="2"/>
    </row>
    <row r="3" spans="1:16" x14ac:dyDescent="0.35">
      <c r="A3" s="1"/>
      <c r="B3" s="6"/>
      <c r="C3" s="7"/>
      <c r="D3" s="7"/>
      <c r="E3" s="7"/>
      <c r="F3" s="7"/>
      <c r="G3" s="7"/>
      <c r="H3" s="7"/>
      <c r="I3" s="7"/>
      <c r="J3" s="7"/>
      <c r="K3" s="7"/>
      <c r="L3" s="7"/>
      <c r="M3" s="7"/>
      <c r="N3" s="7"/>
      <c r="O3" s="7"/>
      <c r="P3" s="7"/>
    </row>
    <row r="4" spans="1:16" ht="15" thickBot="1" x14ac:dyDescent="0.4">
      <c r="A4" s="8" t="s">
        <v>169</v>
      </c>
      <c r="B4" s="6"/>
      <c r="C4" s="9">
        <f>+'April 2024'!C50</f>
        <v>32692.270000000004</v>
      </c>
      <c r="D4" s="7"/>
      <c r="E4" s="7"/>
      <c r="F4" s="7"/>
      <c r="G4" s="7"/>
      <c r="H4" s="7"/>
      <c r="I4" s="7"/>
      <c r="J4" s="7"/>
      <c r="K4" s="7"/>
      <c r="L4" s="7"/>
      <c r="M4" s="7"/>
      <c r="N4" s="7"/>
      <c r="O4" s="7"/>
      <c r="P4" s="7"/>
    </row>
    <row r="5" spans="1:16" x14ac:dyDescent="0.35">
      <c r="A5" s="10" t="s">
        <v>33</v>
      </c>
      <c r="B5" s="6"/>
      <c r="C5" s="7"/>
      <c r="D5" s="7"/>
      <c r="E5" s="7"/>
      <c r="F5" s="7"/>
      <c r="G5" s="7"/>
      <c r="H5" s="7"/>
      <c r="I5" s="7"/>
      <c r="J5" s="7"/>
      <c r="K5" s="7"/>
      <c r="L5" s="7"/>
      <c r="M5" s="7"/>
      <c r="N5" s="7"/>
      <c r="O5" s="7"/>
      <c r="P5" s="7"/>
    </row>
    <row r="6" spans="1:16" x14ac:dyDescent="0.35">
      <c r="A6" s="11" t="s">
        <v>17</v>
      </c>
      <c r="B6" s="12">
        <f>462-17+1671.81-8.5</f>
        <v>2108.31</v>
      </c>
      <c r="C6" s="7"/>
      <c r="D6" s="7"/>
      <c r="E6" s="7"/>
      <c r="F6" s="7"/>
      <c r="G6" s="7"/>
      <c r="H6" s="7"/>
      <c r="I6" s="7"/>
      <c r="J6" s="7"/>
      <c r="K6" s="7"/>
      <c r="L6" s="7"/>
      <c r="M6" s="7"/>
      <c r="N6" s="7"/>
      <c r="O6" s="7"/>
      <c r="P6" s="7"/>
    </row>
    <row r="7" spans="1:16" x14ac:dyDescent="0.35">
      <c r="A7" s="11" t="s">
        <v>114</v>
      </c>
      <c r="B7" s="12"/>
      <c r="C7" s="7"/>
      <c r="D7" s="7"/>
      <c r="E7" s="7"/>
      <c r="F7" s="7"/>
      <c r="G7" s="7"/>
      <c r="H7" s="7"/>
      <c r="I7" s="7"/>
      <c r="J7" s="7"/>
      <c r="K7" s="7"/>
      <c r="L7" s="7"/>
      <c r="M7" s="7"/>
      <c r="N7" s="7"/>
      <c r="O7" s="7"/>
      <c r="P7" s="7"/>
    </row>
    <row r="8" spans="1:16" x14ac:dyDescent="0.35">
      <c r="A8" s="11" t="s">
        <v>128</v>
      </c>
      <c r="B8" s="12"/>
      <c r="C8" s="7"/>
      <c r="D8" s="7"/>
      <c r="E8" s="7"/>
      <c r="F8" s="7"/>
      <c r="G8" s="7"/>
      <c r="H8" s="7"/>
      <c r="I8" s="7"/>
      <c r="J8" s="7"/>
      <c r="K8" s="7"/>
      <c r="L8" s="7"/>
      <c r="M8" s="7"/>
      <c r="N8" s="7"/>
      <c r="O8" s="7"/>
      <c r="P8" s="7"/>
    </row>
    <row r="9" spans="1:16" x14ac:dyDescent="0.35">
      <c r="A9" s="11" t="s">
        <v>116</v>
      </c>
      <c r="B9" s="12"/>
      <c r="C9" s="7"/>
      <c r="D9" s="7"/>
      <c r="E9" s="7"/>
      <c r="F9" s="7"/>
      <c r="G9" s="7"/>
      <c r="H9" s="7"/>
      <c r="I9" s="7"/>
      <c r="J9" s="7"/>
      <c r="K9" s="7"/>
      <c r="L9" s="7"/>
      <c r="M9" s="7"/>
      <c r="N9" s="7"/>
      <c r="O9" s="7"/>
      <c r="P9" s="7"/>
    </row>
    <row r="10" spans="1:16" x14ac:dyDescent="0.35">
      <c r="A10" s="11" t="s">
        <v>117</v>
      </c>
      <c r="B10" s="12"/>
      <c r="C10" s="7"/>
      <c r="D10" s="7"/>
      <c r="E10" s="7"/>
      <c r="F10" s="7"/>
      <c r="G10" s="7"/>
      <c r="H10" s="7"/>
      <c r="I10" s="7"/>
      <c r="J10" s="7"/>
      <c r="K10" s="7"/>
      <c r="L10" s="7"/>
      <c r="M10" s="7"/>
      <c r="N10" s="7"/>
      <c r="O10" s="7"/>
      <c r="P10" s="7"/>
    </row>
    <row r="11" spans="1:16" ht="17" x14ac:dyDescent="0.6">
      <c r="A11" s="13" t="s">
        <v>118</v>
      </c>
      <c r="B11" s="14" t="s">
        <v>119</v>
      </c>
      <c r="C11" s="15">
        <f>SUM(B6:B10)</f>
        <v>2108.31</v>
      </c>
      <c r="D11" s="7"/>
      <c r="E11" s="7"/>
      <c r="F11" s="7"/>
      <c r="G11" s="7"/>
      <c r="H11" s="7"/>
      <c r="I11" s="7"/>
      <c r="J11" s="7"/>
      <c r="K11" s="7"/>
      <c r="L11" s="7"/>
      <c r="M11" s="7"/>
      <c r="N11" s="7"/>
      <c r="O11" s="7"/>
      <c r="P11" s="7"/>
    </row>
    <row r="12" spans="1:16" x14ac:dyDescent="0.35">
      <c r="A12" s="1"/>
      <c r="B12" s="16"/>
      <c r="C12" s="7"/>
      <c r="D12" s="7" t="s">
        <v>23</v>
      </c>
      <c r="E12" s="7"/>
      <c r="F12" s="7"/>
      <c r="G12" s="7"/>
      <c r="H12" s="7"/>
      <c r="I12" s="7"/>
      <c r="J12" s="7"/>
      <c r="K12" s="7"/>
      <c r="L12" s="7"/>
      <c r="M12" s="7"/>
      <c r="N12" s="7"/>
      <c r="O12" s="7"/>
      <c r="P12" s="7"/>
    </row>
    <row r="13" spans="1:16" x14ac:dyDescent="0.35">
      <c r="A13" s="10" t="s">
        <v>34</v>
      </c>
      <c r="B13" s="16"/>
      <c r="C13" s="7"/>
      <c r="D13" s="7"/>
      <c r="E13" s="7"/>
      <c r="F13" s="7"/>
      <c r="G13" s="7"/>
      <c r="H13" s="7"/>
      <c r="I13" s="7"/>
      <c r="J13" s="7"/>
      <c r="K13" s="7"/>
      <c r="L13" s="7"/>
      <c r="M13" s="7"/>
      <c r="N13" s="7"/>
      <c r="O13" s="7"/>
      <c r="P13" s="7"/>
    </row>
    <row r="14" spans="1:16" x14ac:dyDescent="0.35">
      <c r="A14" s="11" t="s">
        <v>57</v>
      </c>
      <c r="B14" s="17"/>
      <c r="C14" s="7"/>
      <c r="D14" s="7"/>
      <c r="E14" s="7"/>
      <c r="F14" s="7"/>
      <c r="G14" s="7"/>
      <c r="H14" s="7"/>
      <c r="I14" s="7"/>
      <c r="J14" s="7"/>
      <c r="K14" s="7"/>
      <c r="L14" s="7"/>
      <c r="M14" s="7"/>
      <c r="N14" s="7"/>
      <c r="O14" s="7"/>
      <c r="P14" s="7"/>
    </row>
    <row r="15" spans="1:16" x14ac:dyDescent="0.35">
      <c r="A15" s="11" t="s">
        <v>58</v>
      </c>
      <c r="B15" s="17"/>
      <c r="C15" s="7"/>
      <c r="D15" s="7"/>
      <c r="E15" s="7"/>
      <c r="F15" s="7"/>
      <c r="G15" s="7"/>
      <c r="H15" s="7"/>
      <c r="I15" s="7"/>
      <c r="J15" s="7"/>
      <c r="K15" s="7"/>
      <c r="L15" s="7"/>
      <c r="M15" s="7"/>
      <c r="N15" s="7"/>
      <c r="O15" s="7"/>
      <c r="P15" s="7"/>
    </row>
    <row r="16" spans="1:16" x14ac:dyDescent="0.35">
      <c r="A16" s="11" t="s">
        <v>59</v>
      </c>
      <c r="B16" s="17"/>
      <c r="C16" s="7"/>
      <c r="D16" s="7"/>
      <c r="E16" s="7"/>
      <c r="F16" s="7"/>
      <c r="G16" s="7"/>
      <c r="H16" s="7"/>
      <c r="I16" s="7"/>
      <c r="J16" s="7"/>
      <c r="K16" s="7"/>
      <c r="L16" s="7"/>
      <c r="M16" s="7"/>
      <c r="N16" s="7"/>
      <c r="O16" s="7"/>
      <c r="P16" s="7"/>
    </row>
    <row r="17" spans="1:16" x14ac:dyDescent="0.35">
      <c r="A17" s="11" t="s">
        <v>120</v>
      </c>
      <c r="B17" s="17"/>
      <c r="C17" s="7"/>
      <c r="D17" s="7"/>
      <c r="E17" s="7"/>
      <c r="F17" s="7"/>
      <c r="G17" s="7"/>
      <c r="H17" s="7"/>
      <c r="I17" s="7"/>
      <c r="J17" s="7"/>
      <c r="K17" s="7"/>
      <c r="L17" s="7"/>
      <c r="M17" s="7"/>
      <c r="N17" s="7"/>
      <c r="O17" s="7"/>
      <c r="P17" s="7"/>
    </row>
    <row r="18" spans="1:16" x14ac:dyDescent="0.35">
      <c r="A18" s="11" t="s">
        <v>61</v>
      </c>
      <c r="B18" s="17">
        <v>30.18</v>
      </c>
      <c r="C18" s="7"/>
      <c r="D18" s="7"/>
      <c r="E18" s="7"/>
      <c r="F18" s="7"/>
      <c r="G18" s="7"/>
      <c r="H18" s="7"/>
      <c r="I18" s="7"/>
      <c r="J18" s="7"/>
      <c r="K18" s="7"/>
      <c r="L18" s="7"/>
      <c r="M18" s="7"/>
      <c r="N18" s="7"/>
      <c r="O18" s="7"/>
      <c r="P18" s="7"/>
    </row>
    <row r="19" spans="1:16" ht="29" x14ac:dyDescent="0.35">
      <c r="A19" s="220" t="s">
        <v>62</v>
      </c>
      <c r="B19" s="221">
        <f>139.01-40.8</f>
        <v>98.21</v>
      </c>
      <c r="C19" s="222" t="s">
        <v>257</v>
      </c>
      <c r="D19" s="7"/>
      <c r="E19" s="7"/>
      <c r="F19" s="7"/>
      <c r="G19" s="7"/>
      <c r="H19" s="7"/>
      <c r="I19" s="7"/>
      <c r="J19" s="7"/>
      <c r="K19" s="7"/>
      <c r="L19" s="7"/>
      <c r="M19" s="7"/>
      <c r="N19" s="7"/>
      <c r="O19" s="7"/>
      <c r="P19" s="7"/>
    </row>
    <row r="20" spans="1:16" x14ac:dyDescent="0.35">
      <c r="A20" s="11" t="s">
        <v>63</v>
      </c>
      <c r="B20" s="209"/>
      <c r="C20" s="7"/>
      <c r="D20" s="7"/>
      <c r="E20" s="24" t="s">
        <v>23</v>
      </c>
      <c r="F20" s="7"/>
      <c r="G20" s="7"/>
      <c r="H20" s="7"/>
      <c r="I20" s="7"/>
      <c r="J20" s="7"/>
      <c r="K20" s="7"/>
      <c r="L20" s="7"/>
      <c r="M20" s="7"/>
      <c r="N20" s="7"/>
      <c r="O20" s="7"/>
      <c r="P20" s="7"/>
    </row>
    <row r="21" spans="1:16" x14ac:dyDescent="0.35">
      <c r="A21" s="11" t="s">
        <v>64</v>
      </c>
      <c r="B21" s="209">
        <v>1250</v>
      </c>
      <c r="C21" s="208" t="s">
        <v>252</v>
      </c>
      <c r="D21" s="208"/>
      <c r="E21" s="7"/>
      <c r="F21" s="7"/>
      <c r="G21" s="7"/>
      <c r="H21" s="7"/>
      <c r="I21" s="7"/>
      <c r="J21" s="7"/>
      <c r="K21" s="7"/>
      <c r="L21" s="7"/>
      <c r="M21" s="7"/>
      <c r="N21" s="7"/>
      <c r="O21" s="7"/>
      <c r="P21" s="7"/>
    </row>
    <row r="22" spans="1:16" x14ac:dyDescent="0.35">
      <c r="A22" s="11" t="s">
        <v>121</v>
      </c>
      <c r="B22" s="209"/>
      <c r="C22" s="208"/>
      <c r="D22" s="208"/>
      <c r="E22" s="7"/>
      <c r="F22" s="7"/>
      <c r="G22" s="7"/>
      <c r="H22" s="7"/>
      <c r="I22" s="7"/>
      <c r="J22" s="7"/>
      <c r="K22" s="7"/>
      <c r="L22" s="7"/>
      <c r="M22" s="7"/>
      <c r="N22" s="7"/>
      <c r="O22" s="7"/>
      <c r="P22" s="7"/>
    </row>
    <row r="23" spans="1:16" x14ac:dyDescent="0.35">
      <c r="A23" s="11" t="s">
        <v>66</v>
      </c>
      <c r="B23" s="209"/>
      <c r="C23" s="7"/>
      <c r="D23" s="7"/>
      <c r="E23" s="7"/>
      <c r="F23" s="7"/>
      <c r="G23" s="7"/>
      <c r="H23" s="7"/>
      <c r="I23" s="7"/>
      <c r="J23" s="7"/>
      <c r="K23" s="7"/>
      <c r="L23" s="7"/>
      <c r="M23" s="7"/>
      <c r="N23" s="7"/>
      <c r="O23" s="7"/>
      <c r="P23" s="7"/>
    </row>
    <row r="24" spans="1:16" x14ac:dyDescent="0.35">
      <c r="A24" s="11" t="s">
        <v>67</v>
      </c>
      <c r="B24" s="17">
        <v>238.66</v>
      </c>
      <c r="C24" s="7" t="s">
        <v>250</v>
      </c>
      <c r="D24" s="7"/>
      <c r="E24" s="7"/>
      <c r="F24" s="7"/>
      <c r="G24" s="7"/>
      <c r="H24" s="7"/>
      <c r="I24" s="7"/>
      <c r="J24" s="7"/>
      <c r="K24" s="7"/>
      <c r="L24" s="7"/>
      <c r="M24" s="7"/>
      <c r="N24" s="7"/>
      <c r="O24" s="7"/>
      <c r="P24" s="7"/>
    </row>
    <row r="25" spans="1:16" x14ac:dyDescent="0.35">
      <c r="A25" s="11" t="s">
        <v>68</v>
      </c>
      <c r="B25" s="17"/>
      <c r="C25" s="7"/>
      <c r="D25" s="7"/>
      <c r="E25" s="7"/>
      <c r="F25" s="7"/>
      <c r="G25" s="7"/>
      <c r="H25" s="7"/>
      <c r="I25" s="7"/>
      <c r="J25" s="7"/>
      <c r="K25" s="7"/>
      <c r="L25" s="7"/>
      <c r="M25" s="7"/>
      <c r="N25" s="7"/>
      <c r="O25" s="7"/>
      <c r="P25" s="7"/>
    </row>
    <row r="26" spans="1:16" x14ac:dyDescent="0.35">
      <c r="A26" s="11" t="s">
        <v>69</v>
      </c>
      <c r="B26" s="17"/>
      <c r="C26" s="7"/>
      <c r="D26" s="7"/>
      <c r="E26" s="7"/>
      <c r="F26" s="7"/>
      <c r="G26" s="7"/>
      <c r="H26" s="7"/>
      <c r="I26" s="7"/>
      <c r="J26" s="7"/>
      <c r="K26" s="7"/>
      <c r="L26" s="7"/>
      <c r="M26" s="7"/>
      <c r="N26" s="7"/>
      <c r="O26" s="7"/>
      <c r="P26" s="7"/>
    </row>
    <row r="27" spans="1:16" x14ac:dyDescent="0.35">
      <c r="A27" s="11" t="s">
        <v>122</v>
      </c>
      <c r="B27" s="17"/>
      <c r="C27" s="7"/>
      <c r="D27" s="7"/>
      <c r="E27" s="7"/>
      <c r="F27" s="7"/>
      <c r="G27" s="7"/>
      <c r="H27" s="7"/>
      <c r="I27" s="7"/>
      <c r="J27" s="7"/>
      <c r="K27" s="7"/>
      <c r="L27" s="7"/>
      <c r="M27" s="7"/>
      <c r="N27" s="7"/>
      <c r="O27" s="7"/>
      <c r="P27" s="7"/>
    </row>
    <row r="28" spans="1:16" x14ac:dyDescent="0.35">
      <c r="A28" s="11" t="s">
        <v>123</v>
      </c>
      <c r="B28" s="17"/>
      <c r="C28" s="7"/>
      <c r="D28" s="7"/>
      <c r="E28" s="7"/>
      <c r="F28" s="7"/>
      <c r="G28" s="7"/>
      <c r="H28" s="7"/>
      <c r="I28" s="7"/>
      <c r="J28" s="7"/>
      <c r="K28" s="7"/>
      <c r="L28" s="7"/>
      <c r="M28" s="7"/>
      <c r="N28" s="7"/>
      <c r="O28" s="7"/>
      <c r="P28" s="7"/>
    </row>
    <row r="29" spans="1:16" x14ac:dyDescent="0.35">
      <c r="A29" s="11" t="s">
        <v>72</v>
      </c>
      <c r="B29" s="17"/>
      <c r="C29" s="7"/>
      <c r="D29" s="7"/>
      <c r="E29" s="7"/>
      <c r="F29" s="7"/>
      <c r="G29" s="7"/>
      <c r="H29" s="7"/>
      <c r="I29" s="7"/>
      <c r="J29" s="7"/>
      <c r="K29" s="7"/>
      <c r="L29" s="7"/>
      <c r="M29" s="7"/>
      <c r="N29" s="7"/>
      <c r="O29" s="7"/>
      <c r="P29" s="7"/>
    </row>
    <row r="30" spans="1:16" x14ac:dyDescent="0.35">
      <c r="A30" s="11" t="s">
        <v>73</v>
      </c>
      <c r="B30" s="17"/>
      <c r="C30" s="7"/>
      <c r="D30" s="7"/>
      <c r="E30" s="7"/>
      <c r="F30" s="7"/>
      <c r="G30" s="7"/>
      <c r="H30" s="7"/>
      <c r="I30" s="7"/>
      <c r="J30" s="7"/>
      <c r="K30" s="7"/>
      <c r="L30" s="7"/>
      <c r="M30" s="7"/>
      <c r="N30" s="7"/>
      <c r="O30" s="7"/>
      <c r="P30" s="7"/>
    </row>
    <row r="31" spans="1:16" x14ac:dyDescent="0.35">
      <c r="A31" s="11" t="s">
        <v>74</v>
      </c>
      <c r="B31" s="17">
        <f>+'Mileage-p4'!G19</f>
        <v>57.599999999999994</v>
      </c>
      <c r="C31" s="7" t="s">
        <v>124</v>
      </c>
      <c r="D31" s="7"/>
      <c r="E31" s="7"/>
      <c r="F31" s="7"/>
      <c r="G31" s="7"/>
      <c r="H31" s="7"/>
      <c r="I31" s="7"/>
      <c r="J31" s="7"/>
      <c r="K31" s="7"/>
      <c r="L31" s="7"/>
      <c r="M31" s="7"/>
      <c r="N31" s="7"/>
      <c r="O31" s="7"/>
      <c r="P31" s="7"/>
    </row>
    <row r="32" spans="1:16" ht="43.5" x14ac:dyDescent="0.35">
      <c r="A32" s="11" t="s">
        <v>125</v>
      </c>
      <c r="B32" s="221">
        <f>-17-8.5-8.5+61.26</f>
        <v>27.259999999999998</v>
      </c>
      <c r="C32" s="222" t="s">
        <v>258</v>
      </c>
      <c r="D32" s="7"/>
      <c r="E32" s="7"/>
      <c r="F32" s="7"/>
      <c r="G32" s="7"/>
      <c r="H32" s="7"/>
      <c r="I32" s="7"/>
      <c r="J32" s="7"/>
      <c r="K32" s="7"/>
      <c r="L32" s="7"/>
      <c r="M32" s="7"/>
      <c r="N32" s="7"/>
      <c r="O32" s="7"/>
      <c r="P32" s="7"/>
    </row>
    <row r="33" spans="1:16" x14ac:dyDescent="0.35">
      <c r="A33" s="11" t="s">
        <v>76</v>
      </c>
      <c r="B33" s="17"/>
      <c r="C33" s="7"/>
      <c r="D33" s="7"/>
      <c r="E33" s="7"/>
      <c r="F33" s="7"/>
      <c r="G33" s="7"/>
      <c r="H33" s="7"/>
      <c r="I33" s="7"/>
      <c r="J33" s="7"/>
      <c r="K33" s="7"/>
      <c r="L33" s="7"/>
      <c r="M33" s="7"/>
      <c r="N33" s="7"/>
      <c r="O33" s="7"/>
      <c r="P33" s="7"/>
    </row>
    <row r="34" spans="1:16" x14ac:dyDescent="0.35">
      <c r="A34" s="11" t="s">
        <v>77</v>
      </c>
      <c r="B34" s="17">
        <v>110</v>
      </c>
      <c r="C34" s="7" t="s">
        <v>251</v>
      </c>
      <c r="D34" s="7"/>
      <c r="E34" s="7"/>
      <c r="F34" s="7"/>
      <c r="G34" s="7"/>
      <c r="H34" s="7"/>
      <c r="I34" s="7"/>
      <c r="J34" s="7"/>
      <c r="K34" s="7"/>
      <c r="L34" s="7"/>
      <c r="M34" s="7"/>
      <c r="N34" s="7"/>
      <c r="O34" s="7"/>
      <c r="P34" s="7"/>
    </row>
    <row r="35" spans="1:16" x14ac:dyDescent="0.35">
      <c r="A35" s="11" t="s">
        <v>54</v>
      </c>
      <c r="B35" s="17"/>
      <c r="C35" s="7"/>
      <c r="D35" s="7"/>
      <c r="E35" s="7"/>
      <c r="F35" s="7"/>
      <c r="G35" s="7"/>
      <c r="H35" s="7"/>
      <c r="I35" s="7"/>
      <c r="J35" s="7"/>
      <c r="K35" s="7"/>
      <c r="L35" s="7"/>
      <c r="M35" s="7"/>
      <c r="N35" s="7"/>
      <c r="O35" s="7"/>
      <c r="P35" s="7"/>
    </row>
    <row r="36" spans="1:16" x14ac:dyDescent="0.35">
      <c r="A36" s="11" t="s">
        <v>78</v>
      </c>
      <c r="B36" s="17"/>
      <c r="C36" s="7"/>
      <c r="D36" s="7"/>
      <c r="E36" s="7"/>
      <c r="F36" s="7"/>
      <c r="G36" s="7"/>
      <c r="H36" s="7"/>
      <c r="I36" s="7"/>
      <c r="J36" s="7"/>
      <c r="K36" s="7"/>
      <c r="L36" s="7"/>
      <c r="M36" s="7"/>
      <c r="N36" s="7"/>
      <c r="O36" s="7"/>
      <c r="P36" s="7"/>
    </row>
    <row r="37" spans="1:16" x14ac:dyDescent="0.35">
      <c r="A37" s="11" t="s">
        <v>79</v>
      </c>
      <c r="B37" s="17"/>
      <c r="C37" s="7"/>
      <c r="D37" s="7"/>
      <c r="E37" s="7"/>
      <c r="F37" s="7"/>
      <c r="G37" s="7"/>
      <c r="H37" s="7"/>
      <c r="I37" s="7"/>
      <c r="J37" s="7"/>
      <c r="K37" s="7"/>
      <c r="L37" s="7"/>
      <c r="M37" s="7"/>
      <c r="N37" s="7"/>
      <c r="O37" s="7"/>
      <c r="P37" s="7"/>
    </row>
    <row r="38" spans="1:16" x14ac:dyDescent="0.35">
      <c r="A38" s="25" t="s">
        <v>80</v>
      </c>
      <c r="B38" s="17"/>
      <c r="C38" s="7"/>
      <c r="D38" s="7"/>
      <c r="E38" s="7"/>
      <c r="F38" s="7"/>
      <c r="G38" s="7"/>
      <c r="H38" s="7"/>
      <c r="I38" s="7"/>
      <c r="J38" s="7"/>
      <c r="K38" s="7"/>
      <c r="L38" s="7"/>
      <c r="M38" s="7"/>
      <c r="N38" s="7"/>
      <c r="O38" s="7"/>
      <c r="P38" s="7"/>
    </row>
    <row r="39" spans="1:16" x14ac:dyDescent="0.35">
      <c r="A39" s="220" t="s">
        <v>81</v>
      </c>
      <c r="B39" s="17"/>
      <c r="C39" s="2" t="s">
        <v>375</v>
      </c>
      <c r="D39" s="208"/>
      <c r="E39" s="2"/>
      <c r="F39" s="2"/>
      <c r="G39" s="2"/>
      <c r="H39" s="2"/>
      <c r="I39" s="2"/>
      <c r="J39" s="2"/>
      <c r="K39" s="2"/>
      <c r="L39" s="2"/>
      <c r="M39" s="2"/>
      <c r="N39" s="2"/>
      <c r="O39" s="2"/>
      <c r="P39" s="2"/>
    </row>
    <row r="40" spans="1:16" x14ac:dyDescent="0.35">
      <c r="A40" s="11" t="s">
        <v>82</v>
      </c>
      <c r="B40" s="209"/>
      <c r="C40" s="208"/>
      <c r="D40" s="208"/>
      <c r="E40" s="2"/>
      <c r="F40" s="2"/>
      <c r="G40" s="2"/>
      <c r="H40" s="2"/>
      <c r="I40" s="2"/>
      <c r="J40" s="2"/>
      <c r="K40" s="2"/>
      <c r="L40" s="2"/>
      <c r="M40" s="2"/>
      <c r="N40" s="2"/>
      <c r="O40" s="2"/>
      <c r="P40" s="2"/>
    </row>
    <row r="41" spans="1:16" x14ac:dyDescent="0.35">
      <c r="A41" s="25" t="s">
        <v>83</v>
      </c>
      <c r="B41" s="17"/>
      <c r="C41" s="2"/>
      <c r="D41" s="2"/>
      <c r="E41" s="2"/>
      <c r="F41" s="2"/>
      <c r="G41" s="2"/>
      <c r="H41" s="2"/>
      <c r="I41" s="2"/>
      <c r="J41" s="2"/>
      <c r="K41" s="2"/>
      <c r="L41" s="2"/>
      <c r="M41" s="2"/>
      <c r="N41" s="2"/>
      <c r="O41" s="2"/>
      <c r="P41" s="2"/>
    </row>
    <row r="42" spans="1:16" x14ac:dyDescent="0.35">
      <c r="A42" s="27" t="s">
        <v>24</v>
      </c>
      <c r="B42" s="28"/>
      <c r="C42" s="2"/>
      <c r="D42" s="2"/>
      <c r="E42" s="2"/>
      <c r="F42" s="2"/>
      <c r="G42" s="2"/>
      <c r="H42" s="2"/>
      <c r="I42" s="2"/>
      <c r="J42" s="2"/>
      <c r="K42" s="2"/>
      <c r="L42" s="2"/>
      <c r="M42" s="2"/>
      <c r="N42" s="2"/>
      <c r="O42" s="2"/>
      <c r="P42" s="2"/>
    </row>
    <row r="43" spans="1:16" x14ac:dyDescent="0.35">
      <c r="A43" s="11" t="s">
        <v>126</v>
      </c>
      <c r="B43" s="17"/>
      <c r="C43" s="2"/>
      <c r="D43" s="2"/>
      <c r="E43" s="2"/>
      <c r="F43" s="2"/>
      <c r="G43" s="2"/>
      <c r="H43" s="2"/>
      <c r="I43" s="2"/>
      <c r="J43" s="2"/>
      <c r="K43" s="2"/>
      <c r="L43" s="2"/>
      <c r="M43" s="2"/>
      <c r="N43" s="2"/>
      <c r="O43" s="2"/>
      <c r="P43" s="2"/>
    </row>
    <row r="44" spans="1:16" x14ac:dyDescent="0.35">
      <c r="A44" s="11" t="s">
        <v>86</v>
      </c>
      <c r="B44" s="17"/>
      <c r="C44" s="2"/>
      <c r="D44" s="2"/>
      <c r="E44" s="2"/>
      <c r="F44" s="2"/>
      <c r="G44" s="2"/>
      <c r="H44" s="2"/>
      <c r="I44" s="2"/>
      <c r="J44" s="2"/>
      <c r="K44" s="2"/>
      <c r="L44" s="2"/>
      <c r="M44" s="2"/>
      <c r="N44" s="2"/>
      <c r="O44" s="2"/>
      <c r="P44" s="2"/>
    </row>
    <row r="45" spans="1:16" x14ac:dyDescent="0.35">
      <c r="A45" s="11" t="s">
        <v>87</v>
      </c>
      <c r="B45" s="17"/>
      <c r="C45" s="2"/>
    </row>
    <row r="46" spans="1:16" x14ac:dyDescent="0.35">
      <c r="A46" s="11" t="s">
        <v>28</v>
      </c>
      <c r="B46" s="17"/>
      <c r="C46" s="2"/>
    </row>
    <row r="47" spans="1:16" x14ac:dyDescent="0.35">
      <c r="A47" s="25" t="s">
        <v>88</v>
      </c>
      <c r="B47" s="17"/>
      <c r="C47" s="2"/>
    </row>
    <row r="48" spans="1:16" ht="17" x14ac:dyDescent="0.6">
      <c r="A48" s="13" t="s">
        <v>90</v>
      </c>
      <c r="B48" s="19" t="s">
        <v>127</v>
      </c>
      <c r="C48" s="20">
        <f>SUM(B14:B47)</f>
        <v>1811.9099999999999</v>
      </c>
    </row>
    <row r="49" spans="1:3" x14ac:dyDescent="0.35">
      <c r="A49" s="2"/>
      <c r="B49" s="6"/>
      <c r="C49" s="2"/>
    </row>
    <row r="50" spans="1:3" ht="15" thickBot="1" x14ac:dyDescent="0.4">
      <c r="A50" s="18" t="s">
        <v>170</v>
      </c>
      <c r="B50" s="4"/>
      <c r="C50" s="21">
        <f>SUM(C4+C11-C48)</f>
        <v>32988.67</v>
      </c>
    </row>
    <row r="51" spans="1:3" ht="15" thickTop="1" x14ac:dyDescent="0.35"/>
    <row r="52" spans="1:3" x14ac:dyDescent="0.35">
      <c r="C52" s="157"/>
    </row>
  </sheetData>
  <pageMargins left="0.7" right="0.7" top="0.75" bottom="0.75" header="0.3" footer="0.3"/>
  <pageSetup scale="74" orientation="portrait"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95094-05AA-4C69-AE73-35417AA56B2E}">
  <sheetPr>
    <tabColor rgb="FF00B0F0"/>
    <pageSetUpPr fitToPage="1"/>
  </sheetPr>
  <dimension ref="A1:P51"/>
  <sheetViews>
    <sheetView topLeftCell="A27" zoomScaleNormal="100" workbookViewId="0">
      <selection activeCell="C39" sqref="C39"/>
    </sheetView>
  </sheetViews>
  <sheetFormatPr defaultRowHeight="14.5" x14ac:dyDescent="0.35"/>
  <cols>
    <col min="1" max="1" width="42.54296875" customWidth="1"/>
    <col min="2" max="2" width="15.54296875" customWidth="1"/>
    <col min="3" max="3" width="20.1796875" customWidth="1"/>
    <col min="4" max="4" width="41.54296875" customWidth="1"/>
    <col min="5" max="5" width="9.54296875" bestFit="1" customWidth="1"/>
    <col min="8" max="8" width="9.54296875" bestFit="1" customWidth="1"/>
  </cols>
  <sheetData>
    <row r="1" spans="1:16" ht="23.5" x14ac:dyDescent="0.55000000000000004">
      <c r="A1" s="1"/>
      <c r="B1" s="22" t="s">
        <v>23</v>
      </c>
      <c r="C1" s="2"/>
      <c r="D1" s="173"/>
      <c r="E1" s="2"/>
      <c r="F1" s="2"/>
      <c r="G1" s="2"/>
      <c r="H1" s="2"/>
      <c r="I1" s="2"/>
      <c r="J1" s="2"/>
      <c r="K1" s="2"/>
      <c r="L1" s="2"/>
      <c r="M1" s="2"/>
      <c r="N1" s="2"/>
      <c r="O1" s="2"/>
      <c r="P1" s="2"/>
    </row>
    <row r="2" spans="1:16" x14ac:dyDescent="0.35">
      <c r="A2" s="4" t="s">
        <v>165</v>
      </c>
      <c r="B2" s="2"/>
      <c r="C2" s="2"/>
      <c r="D2" s="5"/>
      <c r="E2" s="2"/>
      <c r="F2" s="2"/>
      <c r="G2" s="2"/>
      <c r="H2" s="2"/>
      <c r="I2" s="2"/>
      <c r="J2" s="2"/>
      <c r="K2" s="2"/>
      <c r="L2" s="2"/>
      <c r="M2" s="2"/>
      <c r="N2" s="2"/>
      <c r="O2" s="2"/>
      <c r="P2" s="2"/>
    </row>
    <row r="3" spans="1:16" x14ac:dyDescent="0.35">
      <c r="A3" s="1"/>
      <c r="B3" s="6"/>
      <c r="C3" s="7"/>
      <c r="D3" s="7"/>
      <c r="E3" s="7"/>
      <c r="F3" s="7"/>
      <c r="G3" s="7"/>
      <c r="H3" s="7"/>
      <c r="I3" s="7"/>
      <c r="J3" s="7"/>
      <c r="K3" s="7"/>
      <c r="L3" s="7"/>
      <c r="M3" s="7"/>
      <c r="N3" s="7"/>
      <c r="O3" s="7"/>
      <c r="P3" s="7"/>
    </row>
    <row r="4" spans="1:16" ht="15" thickBot="1" x14ac:dyDescent="0.4">
      <c r="A4" s="8" t="s">
        <v>166</v>
      </c>
      <c r="B4" s="6"/>
      <c r="C4" s="9">
        <f>+'March 2024'!C50</f>
        <v>25550.090000000004</v>
      </c>
      <c r="D4" s="7"/>
      <c r="E4" s="7"/>
      <c r="F4" s="7"/>
      <c r="G4" s="7"/>
      <c r="H4" s="7"/>
      <c r="I4" s="7"/>
      <c r="J4" s="7"/>
      <c r="K4" s="7"/>
      <c r="L4" s="7"/>
      <c r="M4" s="7"/>
      <c r="N4" s="7"/>
      <c r="O4" s="7"/>
      <c r="P4" s="7"/>
    </row>
    <row r="5" spans="1:16" x14ac:dyDescent="0.35">
      <c r="A5" s="10" t="s">
        <v>33</v>
      </c>
      <c r="B5" s="6"/>
      <c r="C5" s="7"/>
      <c r="D5" s="7"/>
      <c r="E5" s="7"/>
      <c r="F5" s="7"/>
      <c r="G5" s="7"/>
      <c r="H5" s="7"/>
      <c r="I5" s="7"/>
      <c r="J5" s="7"/>
      <c r="K5" s="7"/>
      <c r="L5" s="7"/>
      <c r="M5" s="7"/>
      <c r="N5" s="7"/>
      <c r="O5" s="7"/>
      <c r="P5" s="7"/>
    </row>
    <row r="6" spans="1:16" x14ac:dyDescent="0.35">
      <c r="A6" s="11" t="s">
        <v>17</v>
      </c>
      <c r="B6" s="12">
        <f>1487+771.1+840-8.5</f>
        <v>3089.6</v>
      </c>
      <c r="C6" s="7"/>
      <c r="D6" s="7"/>
      <c r="E6" s="7"/>
      <c r="F6" s="7"/>
      <c r="G6" s="7"/>
      <c r="H6" s="7"/>
      <c r="I6" s="7"/>
      <c r="J6" s="7"/>
      <c r="K6" s="7"/>
      <c r="L6" s="7"/>
      <c r="M6" s="7"/>
      <c r="N6" s="7"/>
      <c r="O6" s="7"/>
      <c r="P6" s="7"/>
    </row>
    <row r="7" spans="1:16" x14ac:dyDescent="0.35">
      <c r="A7" s="11" t="s">
        <v>114</v>
      </c>
      <c r="B7" s="12"/>
      <c r="C7" s="7"/>
      <c r="D7" s="7"/>
      <c r="E7" s="7"/>
      <c r="F7" s="7"/>
      <c r="G7" s="7"/>
      <c r="H7" s="7"/>
      <c r="I7" s="7"/>
      <c r="J7" s="7"/>
      <c r="K7" s="7"/>
      <c r="L7" s="7"/>
      <c r="M7" s="7"/>
      <c r="N7" s="7"/>
      <c r="O7" s="7"/>
      <c r="P7" s="7"/>
    </row>
    <row r="8" spans="1:16" x14ac:dyDescent="0.35">
      <c r="A8" s="11" t="s">
        <v>235</v>
      </c>
      <c r="B8" s="12">
        <v>1080</v>
      </c>
      <c r="C8" s="7" t="s">
        <v>245</v>
      </c>
      <c r="D8" s="7"/>
      <c r="E8" s="7"/>
      <c r="F8" s="7"/>
      <c r="G8" s="7"/>
      <c r="H8" s="7"/>
      <c r="I8" s="7"/>
      <c r="J8" s="7"/>
      <c r="K8" s="7"/>
      <c r="L8" s="7"/>
      <c r="M8" s="7"/>
      <c r="N8" s="7"/>
      <c r="O8" s="7"/>
      <c r="P8" s="7"/>
    </row>
    <row r="9" spans="1:16" x14ac:dyDescent="0.35">
      <c r="A9" s="11" t="s">
        <v>116</v>
      </c>
      <c r="B9" s="12">
        <v>5000</v>
      </c>
      <c r="C9" s="7" t="s">
        <v>25</v>
      </c>
      <c r="D9" s="7"/>
      <c r="E9" s="7"/>
      <c r="F9" s="7"/>
      <c r="G9" s="7"/>
      <c r="H9" s="7"/>
      <c r="I9" s="7"/>
      <c r="J9" s="7"/>
      <c r="K9" s="7"/>
      <c r="L9" s="7"/>
      <c r="M9" s="7"/>
      <c r="N9" s="7"/>
      <c r="O9" s="7"/>
      <c r="P9" s="7"/>
    </row>
    <row r="10" spans="1:16" x14ac:dyDescent="0.35">
      <c r="A10" s="11" t="s">
        <v>117</v>
      </c>
      <c r="B10" s="12"/>
      <c r="C10" s="7"/>
      <c r="D10" s="7"/>
      <c r="E10" s="7"/>
      <c r="F10" s="7"/>
      <c r="G10" s="7"/>
      <c r="H10" s="7"/>
      <c r="I10" s="7"/>
      <c r="J10" s="7"/>
      <c r="K10" s="7"/>
      <c r="L10" s="7"/>
      <c r="M10" s="7"/>
      <c r="N10" s="7"/>
      <c r="O10" s="7"/>
      <c r="P10" s="7"/>
    </row>
    <row r="11" spans="1:16" ht="17" x14ac:dyDescent="0.6">
      <c r="A11" s="13" t="s">
        <v>118</v>
      </c>
      <c r="B11" s="14" t="s">
        <v>119</v>
      </c>
      <c r="C11" s="15">
        <f>SUM(B6:B10)</f>
        <v>9169.6</v>
      </c>
      <c r="D11" s="7"/>
      <c r="E11" s="7"/>
      <c r="F11" s="7"/>
      <c r="G11" s="7"/>
      <c r="H11" s="7"/>
      <c r="I11" s="7"/>
      <c r="J11" s="7"/>
      <c r="K11" s="7"/>
      <c r="L11" s="7"/>
      <c r="M11" s="7"/>
      <c r="N11" s="7"/>
      <c r="O11" s="7"/>
      <c r="P11" s="7"/>
    </row>
    <row r="12" spans="1:16" x14ac:dyDescent="0.35">
      <c r="A12" s="1"/>
      <c r="B12" s="16"/>
      <c r="C12" s="7"/>
      <c r="D12" s="7"/>
      <c r="E12" s="7"/>
      <c r="F12" s="7"/>
      <c r="G12" s="7"/>
      <c r="H12" s="7"/>
      <c r="I12" s="7"/>
      <c r="J12" s="7"/>
      <c r="K12" s="7"/>
      <c r="L12" s="7"/>
      <c r="M12" s="7"/>
      <c r="N12" s="7"/>
      <c r="O12" s="7"/>
      <c r="P12" s="7"/>
    </row>
    <row r="13" spans="1:16" x14ac:dyDescent="0.35">
      <c r="A13" s="10" t="s">
        <v>34</v>
      </c>
      <c r="B13" s="16"/>
      <c r="C13" s="7"/>
      <c r="D13" s="7"/>
      <c r="E13" s="7"/>
      <c r="F13" s="7"/>
      <c r="G13" s="7"/>
      <c r="H13" s="7"/>
      <c r="I13" s="7"/>
      <c r="J13" s="7"/>
      <c r="K13" s="7"/>
      <c r="L13" s="7"/>
      <c r="M13" s="7"/>
      <c r="N13" s="7"/>
      <c r="O13" s="7"/>
      <c r="P13" s="7"/>
    </row>
    <row r="14" spans="1:16" x14ac:dyDescent="0.35">
      <c r="A14" s="11" t="s">
        <v>57</v>
      </c>
      <c r="B14" s="17"/>
      <c r="C14" s="7"/>
      <c r="D14" s="7"/>
      <c r="E14" s="7"/>
      <c r="F14" s="7"/>
      <c r="G14" s="7"/>
      <c r="H14" s="7"/>
      <c r="I14" s="7"/>
      <c r="J14" s="7"/>
      <c r="K14" s="7"/>
      <c r="L14" s="7"/>
      <c r="M14" s="7"/>
      <c r="N14" s="7"/>
      <c r="O14" s="7"/>
      <c r="P14" s="7"/>
    </row>
    <row r="15" spans="1:16" x14ac:dyDescent="0.35">
      <c r="A15" s="11" t="s">
        <v>58</v>
      </c>
      <c r="B15" s="17"/>
      <c r="C15" s="7"/>
      <c r="D15" s="7"/>
      <c r="E15" s="7"/>
      <c r="F15" s="7"/>
      <c r="G15" s="7"/>
      <c r="H15" s="7"/>
      <c r="I15" s="7"/>
      <c r="J15" s="7"/>
      <c r="K15" s="7"/>
      <c r="L15" s="7"/>
      <c r="M15" s="7"/>
      <c r="N15" s="7"/>
      <c r="O15" s="7"/>
      <c r="P15" s="7"/>
    </row>
    <row r="16" spans="1:16" x14ac:dyDescent="0.35">
      <c r="A16" s="11" t="s">
        <v>59</v>
      </c>
      <c r="B16" s="17">
        <f>25+480</f>
        <v>505</v>
      </c>
      <c r="C16" s="7" t="s">
        <v>242</v>
      </c>
      <c r="D16" s="7"/>
      <c r="E16" s="7"/>
      <c r="F16" s="7"/>
      <c r="G16" s="7"/>
      <c r="H16" s="7"/>
      <c r="I16" s="7"/>
      <c r="J16" s="7"/>
      <c r="K16" s="7"/>
      <c r="L16" s="7"/>
      <c r="M16" s="7"/>
      <c r="N16" s="7"/>
      <c r="O16" s="7"/>
      <c r="P16" s="7"/>
    </row>
    <row r="17" spans="1:16" x14ac:dyDescent="0.35">
      <c r="A17" s="11" t="s">
        <v>120</v>
      </c>
      <c r="B17" s="17"/>
      <c r="C17" s="7"/>
      <c r="D17" s="7"/>
      <c r="E17" s="7"/>
      <c r="F17" s="7"/>
      <c r="G17" s="7"/>
      <c r="H17" s="7"/>
      <c r="I17" s="7"/>
      <c r="J17" s="7"/>
      <c r="K17" s="7"/>
      <c r="L17" s="7"/>
      <c r="M17" s="7"/>
      <c r="N17" s="7"/>
      <c r="O17" s="7"/>
      <c r="P17" s="7"/>
    </row>
    <row r="18" spans="1:16" x14ac:dyDescent="0.35">
      <c r="A18" s="11" t="s">
        <v>61</v>
      </c>
      <c r="B18" s="17">
        <f>-'2024 Check Register-p3'!E37</f>
        <v>22.88</v>
      </c>
      <c r="C18" s="7"/>
      <c r="D18" s="7"/>
      <c r="E18" s="7"/>
      <c r="F18" s="7"/>
      <c r="G18" s="7"/>
      <c r="H18" s="7"/>
      <c r="I18" s="7"/>
      <c r="J18" s="7"/>
      <c r="K18" s="7"/>
      <c r="L18" s="7"/>
      <c r="M18" s="7"/>
      <c r="N18" s="7"/>
      <c r="O18" s="7"/>
      <c r="P18" s="7"/>
    </row>
    <row r="19" spans="1:16" x14ac:dyDescent="0.35">
      <c r="A19" s="11" t="s">
        <v>62</v>
      </c>
      <c r="B19" s="17"/>
      <c r="C19" s="7"/>
      <c r="D19" s="7"/>
      <c r="E19" s="7"/>
      <c r="F19" s="7"/>
      <c r="G19" s="7"/>
      <c r="H19" s="7"/>
      <c r="I19" s="7"/>
      <c r="J19" s="7"/>
      <c r="K19" s="7"/>
      <c r="L19" s="7"/>
      <c r="M19" s="7"/>
      <c r="N19" s="7"/>
      <c r="O19" s="7"/>
      <c r="P19" s="7"/>
    </row>
    <row r="20" spans="1:16" x14ac:dyDescent="0.35">
      <c r="A20" s="11" t="s">
        <v>63</v>
      </c>
      <c r="B20" s="17"/>
      <c r="C20" s="7"/>
      <c r="D20" s="7"/>
      <c r="E20" s="7"/>
      <c r="F20" s="7"/>
      <c r="G20" s="7"/>
      <c r="H20" s="7"/>
      <c r="I20" s="7"/>
      <c r="J20" s="7"/>
      <c r="K20" s="7"/>
      <c r="L20" s="7"/>
      <c r="M20" s="7"/>
      <c r="N20" s="7"/>
      <c r="O20" s="7"/>
      <c r="P20" s="7"/>
    </row>
    <row r="21" spans="1:16" x14ac:dyDescent="0.35">
      <c r="A21" s="11" t="s">
        <v>64</v>
      </c>
      <c r="B21" s="17">
        <v>50</v>
      </c>
      <c r="C21" s="7" t="s">
        <v>219</v>
      </c>
      <c r="D21" s="7"/>
      <c r="E21" s="7"/>
      <c r="F21" s="7"/>
      <c r="G21" s="7"/>
      <c r="H21" s="7"/>
      <c r="I21" s="7"/>
      <c r="J21" s="7"/>
      <c r="K21" s="7"/>
      <c r="L21" s="7"/>
      <c r="M21" s="7"/>
      <c r="N21" s="7"/>
      <c r="O21" s="7"/>
      <c r="P21" s="7"/>
    </row>
    <row r="22" spans="1:16" x14ac:dyDescent="0.35">
      <c r="A22" s="11" t="s">
        <v>121</v>
      </c>
      <c r="B22" s="17"/>
      <c r="C22" s="7"/>
      <c r="D22" s="7"/>
      <c r="E22" s="7"/>
      <c r="F22" s="7"/>
      <c r="G22" s="7"/>
      <c r="H22" s="7"/>
      <c r="I22" s="7"/>
      <c r="J22" s="7"/>
      <c r="K22" s="7"/>
      <c r="L22" s="7"/>
      <c r="M22" s="7"/>
      <c r="N22" s="7"/>
      <c r="O22" s="7"/>
      <c r="P22" s="7"/>
    </row>
    <row r="23" spans="1:16" x14ac:dyDescent="0.35">
      <c r="A23" s="11" t="s">
        <v>66</v>
      </c>
      <c r="B23" s="17"/>
      <c r="C23" s="7"/>
      <c r="D23" s="7"/>
      <c r="E23" s="7"/>
      <c r="F23" s="7"/>
      <c r="G23" s="7"/>
      <c r="H23" s="7"/>
      <c r="I23" s="7"/>
      <c r="J23" s="7"/>
      <c r="K23" s="7"/>
      <c r="L23" s="7"/>
      <c r="M23" s="7"/>
      <c r="N23" s="7"/>
      <c r="O23" s="7"/>
      <c r="P23" s="7"/>
    </row>
    <row r="24" spans="1:16" x14ac:dyDescent="0.35">
      <c r="A24" s="11" t="s">
        <v>67</v>
      </c>
      <c r="B24" s="17"/>
      <c r="C24" s="7"/>
      <c r="D24" s="7"/>
      <c r="E24" s="7"/>
      <c r="F24" s="7"/>
      <c r="G24" s="7"/>
      <c r="H24" s="7"/>
      <c r="I24" s="7"/>
      <c r="J24" s="7"/>
      <c r="K24" s="7"/>
      <c r="L24" s="7"/>
      <c r="M24" s="7"/>
      <c r="N24" s="7"/>
      <c r="O24" s="7"/>
      <c r="P24" s="7"/>
    </row>
    <row r="25" spans="1:16" x14ac:dyDescent="0.35">
      <c r="A25" s="11" t="s">
        <v>68</v>
      </c>
      <c r="B25" s="17"/>
      <c r="C25" s="7"/>
      <c r="D25" s="7"/>
      <c r="E25" s="7"/>
      <c r="F25" s="7"/>
      <c r="G25" s="7"/>
      <c r="H25" s="7"/>
      <c r="I25" s="7"/>
      <c r="J25" s="7"/>
      <c r="K25" s="7"/>
      <c r="L25" s="7"/>
      <c r="M25" s="7"/>
      <c r="N25" s="7"/>
      <c r="O25" s="7"/>
      <c r="P25" s="7"/>
    </row>
    <row r="26" spans="1:16" x14ac:dyDescent="0.35">
      <c r="A26" s="11" t="s">
        <v>69</v>
      </c>
      <c r="B26" s="17"/>
      <c r="C26" s="7"/>
      <c r="D26" s="7"/>
      <c r="E26" s="7"/>
      <c r="F26" s="7"/>
      <c r="G26" s="7"/>
      <c r="H26" s="7"/>
      <c r="I26" s="7"/>
      <c r="J26" s="7"/>
      <c r="K26" s="7"/>
      <c r="L26" s="7"/>
      <c r="M26" s="7"/>
      <c r="N26" s="7"/>
      <c r="O26" s="7"/>
      <c r="P26" s="7"/>
    </row>
    <row r="27" spans="1:16" x14ac:dyDescent="0.35">
      <c r="A27" s="11" t="s">
        <v>122</v>
      </c>
      <c r="B27" s="17"/>
      <c r="C27" s="7"/>
      <c r="D27" s="7"/>
      <c r="E27" s="7"/>
      <c r="F27" s="7"/>
      <c r="G27" s="7"/>
      <c r="H27" s="7"/>
      <c r="I27" s="7"/>
      <c r="J27" s="7"/>
      <c r="K27" s="7"/>
      <c r="L27" s="7"/>
      <c r="M27" s="7"/>
      <c r="N27" s="7"/>
      <c r="O27" s="7"/>
      <c r="P27" s="7"/>
    </row>
    <row r="28" spans="1:16" x14ac:dyDescent="0.35">
      <c r="A28" s="11" t="s">
        <v>123</v>
      </c>
      <c r="B28" s="17"/>
      <c r="C28" s="7"/>
      <c r="D28" s="7"/>
      <c r="E28" s="7"/>
      <c r="F28" s="7"/>
      <c r="G28" s="7"/>
      <c r="H28" s="7"/>
      <c r="I28" s="7"/>
      <c r="J28" s="7"/>
      <c r="K28" s="7"/>
      <c r="L28" s="7"/>
      <c r="M28" s="7"/>
      <c r="N28" s="7"/>
      <c r="O28" s="7"/>
      <c r="P28" s="7"/>
    </row>
    <row r="29" spans="1:16" x14ac:dyDescent="0.35">
      <c r="A29" s="11" t="s">
        <v>72</v>
      </c>
      <c r="B29" s="17"/>
      <c r="C29" s="7"/>
      <c r="D29" s="7"/>
      <c r="E29" s="7"/>
      <c r="F29" s="7"/>
      <c r="G29" s="7"/>
      <c r="H29" s="7"/>
      <c r="I29" s="7"/>
      <c r="J29" s="7"/>
      <c r="K29" s="7"/>
      <c r="L29" s="7"/>
      <c r="M29" s="7"/>
      <c r="N29" s="7"/>
      <c r="O29" s="7"/>
      <c r="P29" s="7"/>
    </row>
    <row r="30" spans="1:16" x14ac:dyDescent="0.35">
      <c r="A30" s="11" t="s">
        <v>73</v>
      </c>
      <c r="B30" s="17"/>
      <c r="C30" s="7"/>
      <c r="D30" s="7"/>
      <c r="E30" s="7"/>
      <c r="F30" s="7"/>
      <c r="G30" s="7"/>
      <c r="H30" s="7"/>
      <c r="I30" s="7"/>
      <c r="J30" s="7"/>
      <c r="K30" s="7"/>
      <c r="L30" s="7"/>
      <c r="M30" s="7"/>
      <c r="N30" s="7"/>
      <c r="O30" s="7"/>
      <c r="P30" s="7"/>
    </row>
    <row r="31" spans="1:16" x14ac:dyDescent="0.35">
      <c r="A31" s="11" t="s">
        <v>74</v>
      </c>
      <c r="B31" s="17">
        <f>+'Mileage-p4'!F19</f>
        <v>0</v>
      </c>
      <c r="C31" s="7" t="s">
        <v>124</v>
      </c>
      <c r="D31" s="7"/>
      <c r="E31" s="7"/>
      <c r="F31" s="7"/>
      <c r="G31" s="7"/>
      <c r="H31" s="7"/>
      <c r="I31" s="7"/>
      <c r="J31" s="7"/>
      <c r="K31" s="7"/>
      <c r="L31" s="7"/>
      <c r="M31" s="7"/>
      <c r="N31" s="7"/>
      <c r="O31" s="7"/>
      <c r="P31" s="7"/>
    </row>
    <row r="32" spans="1:16" x14ac:dyDescent="0.35">
      <c r="A32" s="11" t="s">
        <v>125</v>
      </c>
      <c r="B32" s="17">
        <f>61.26-8.5</f>
        <v>52.76</v>
      </c>
      <c r="C32" s="2" t="s">
        <v>236</v>
      </c>
      <c r="D32" s="7"/>
      <c r="E32" s="7"/>
      <c r="F32" s="7"/>
      <c r="G32" s="7"/>
      <c r="H32" s="7"/>
      <c r="I32" s="7"/>
      <c r="J32" s="7"/>
      <c r="K32" s="7"/>
      <c r="L32" s="7"/>
      <c r="M32" s="7"/>
      <c r="N32" s="7"/>
      <c r="O32" s="7"/>
      <c r="P32" s="7"/>
    </row>
    <row r="33" spans="1:16" x14ac:dyDescent="0.35">
      <c r="A33" s="11" t="s">
        <v>76</v>
      </c>
      <c r="B33" s="17">
        <f>25+56.4+91+300</f>
        <v>472.4</v>
      </c>
      <c r="C33" s="7" t="s">
        <v>226</v>
      </c>
      <c r="D33" s="7"/>
      <c r="E33" s="7"/>
      <c r="F33" s="7"/>
      <c r="G33" s="7"/>
      <c r="H33" s="7"/>
      <c r="I33" s="7"/>
      <c r="J33" s="7"/>
      <c r="K33" s="7"/>
      <c r="L33" s="7"/>
      <c r="M33" s="7"/>
      <c r="N33" s="7"/>
      <c r="O33" s="7"/>
      <c r="P33" s="7"/>
    </row>
    <row r="34" spans="1:16" x14ac:dyDescent="0.35">
      <c r="A34" s="11" t="s">
        <v>77</v>
      </c>
      <c r="B34" s="17"/>
      <c r="C34" s="7"/>
      <c r="D34" s="7"/>
      <c r="E34" s="7"/>
      <c r="F34" s="7"/>
      <c r="G34" s="7"/>
      <c r="H34" s="7"/>
      <c r="I34" s="7"/>
      <c r="J34" s="7"/>
      <c r="K34" s="7"/>
      <c r="L34" s="7"/>
      <c r="M34" s="7"/>
      <c r="N34" s="7"/>
      <c r="O34" s="7"/>
      <c r="P34" s="7"/>
    </row>
    <row r="35" spans="1:16" x14ac:dyDescent="0.35">
      <c r="A35" s="11" t="s">
        <v>54</v>
      </c>
      <c r="B35" s="17">
        <v>924.38</v>
      </c>
      <c r="C35" s="7" t="s">
        <v>244</v>
      </c>
      <c r="D35" s="7"/>
      <c r="E35" s="7"/>
      <c r="F35" s="7"/>
      <c r="G35" s="7"/>
      <c r="H35" s="7"/>
      <c r="I35" s="7"/>
      <c r="J35" s="7"/>
      <c r="K35" s="7"/>
      <c r="L35" s="7"/>
      <c r="M35" s="7"/>
      <c r="N35" s="7"/>
      <c r="O35" s="7"/>
      <c r="P35" s="7"/>
    </row>
    <row r="36" spans="1:16" x14ac:dyDescent="0.35">
      <c r="A36" s="11" t="s">
        <v>78</v>
      </c>
      <c r="B36" s="17"/>
      <c r="C36" s="7"/>
      <c r="D36" s="7"/>
      <c r="E36" s="7"/>
      <c r="F36" s="7"/>
      <c r="G36" s="7"/>
      <c r="H36" s="7"/>
      <c r="I36" s="7"/>
      <c r="J36" s="7"/>
      <c r="K36" s="7"/>
      <c r="L36" s="7"/>
      <c r="M36" s="7"/>
      <c r="N36" s="7"/>
      <c r="O36" s="7"/>
      <c r="P36" s="7"/>
    </row>
    <row r="37" spans="1:16" x14ac:dyDescent="0.35">
      <c r="A37" s="11" t="s">
        <v>79</v>
      </c>
      <c r="B37" s="17"/>
      <c r="C37" s="7"/>
      <c r="D37" s="7"/>
      <c r="E37" s="7"/>
      <c r="F37" s="7"/>
      <c r="G37" s="7"/>
      <c r="H37" s="7"/>
      <c r="I37" s="7"/>
      <c r="J37" s="7"/>
      <c r="K37" s="7"/>
      <c r="L37" s="7"/>
      <c r="M37" s="7"/>
      <c r="N37" s="7"/>
      <c r="O37" s="7"/>
      <c r="P37" s="7"/>
    </row>
    <row r="38" spans="1:16" x14ac:dyDescent="0.35">
      <c r="A38" s="25" t="s">
        <v>80</v>
      </c>
      <c r="B38" s="17"/>
      <c r="C38" s="7"/>
      <c r="D38" s="7"/>
      <c r="E38" s="7"/>
      <c r="F38" s="7"/>
      <c r="G38" s="7"/>
      <c r="H38" s="7"/>
      <c r="I38" s="7"/>
      <c r="J38" s="7"/>
      <c r="K38" s="7"/>
      <c r="L38" s="7"/>
      <c r="M38" s="7"/>
      <c r="N38" s="7"/>
      <c r="O38" s="7"/>
      <c r="P38" s="7"/>
    </row>
    <row r="39" spans="1:16" x14ac:dyDescent="0.35">
      <c r="A39" s="11" t="s">
        <v>81</v>
      </c>
      <c r="B39" s="17"/>
      <c r="C39" s="2" t="s">
        <v>375</v>
      </c>
      <c r="D39" s="2"/>
      <c r="E39" s="2"/>
      <c r="F39" s="2"/>
      <c r="G39" s="2"/>
      <c r="H39" s="2"/>
      <c r="I39" s="2"/>
      <c r="J39" s="2"/>
      <c r="K39" s="2"/>
      <c r="L39" s="2"/>
      <c r="M39" s="2"/>
      <c r="N39" s="2"/>
      <c r="O39" s="2"/>
      <c r="P39" s="2"/>
    </row>
    <row r="40" spans="1:16" x14ac:dyDescent="0.35">
      <c r="A40" s="11" t="s">
        <v>82</v>
      </c>
      <c r="B40" s="17"/>
      <c r="C40" s="2"/>
      <c r="D40" s="2"/>
      <c r="E40" s="7"/>
      <c r="F40" s="2"/>
      <c r="G40" s="2"/>
      <c r="H40" s="2"/>
      <c r="I40" s="2"/>
      <c r="J40" s="2"/>
      <c r="K40" s="2"/>
      <c r="L40" s="2"/>
      <c r="M40" s="2"/>
      <c r="N40" s="2"/>
      <c r="O40" s="2"/>
      <c r="P40" s="2"/>
    </row>
    <row r="41" spans="1:16" x14ac:dyDescent="0.35">
      <c r="A41" s="25" t="s">
        <v>83</v>
      </c>
      <c r="B41" s="17"/>
      <c r="C41" s="2"/>
      <c r="D41" s="2"/>
      <c r="E41" s="159"/>
      <c r="F41" s="2"/>
      <c r="G41" s="2"/>
      <c r="H41" s="2"/>
      <c r="I41" s="2"/>
      <c r="J41" s="2"/>
      <c r="K41" s="2"/>
      <c r="L41" s="2"/>
      <c r="M41" s="2"/>
      <c r="N41" s="2"/>
      <c r="O41" s="2"/>
      <c r="P41" s="2"/>
    </row>
    <row r="42" spans="1:16" x14ac:dyDescent="0.35">
      <c r="A42" s="27" t="s">
        <v>24</v>
      </c>
      <c r="B42" s="28"/>
      <c r="C42" s="2"/>
      <c r="D42" s="2"/>
      <c r="E42" s="159"/>
      <c r="F42" s="2"/>
      <c r="G42" s="2"/>
      <c r="H42" s="7"/>
      <c r="I42" s="2"/>
      <c r="J42" s="2"/>
      <c r="K42" s="2"/>
      <c r="L42" s="2"/>
      <c r="M42" s="2"/>
      <c r="N42" s="2"/>
      <c r="O42" s="2"/>
      <c r="P42" s="2"/>
    </row>
    <row r="43" spans="1:16" x14ac:dyDescent="0.35">
      <c r="A43" s="11" t="s">
        <v>126</v>
      </c>
      <c r="B43" s="17"/>
      <c r="C43" s="2"/>
      <c r="D43" s="2"/>
      <c r="E43" s="2"/>
      <c r="F43" s="2"/>
      <c r="G43" s="2"/>
      <c r="H43" s="2"/>
      <c r="I43" s="2"/>
      <c r="J43" s="2"/>
      <c r="K43" s="2"/>
      <c r="L43" s="2"/>
      <c r="M43" s="2"/>
      <c r="N43" s="2"/>
      <c r="O43" s="2"/>
      <c r="P43" s="2"/>
    </row>
    <row r="44" spans="1:16" x14ac:dyDescent="0.35">
      <c r="A44" s="11" t="s">
        <v>86</v>
      </c>
      <c r="B44" s="17"/>
      <c r="C44" s="2"/>
      <c r="D44" s="2"/>
      <c r="E44" s="2"/>
      <c r="F44" s="2"/>
      <c r="G44" s="2"/>
      <c r="H44" s="2"/>
      <c r="I44" s="2"/>
      <c r="J44" s="2"/>
      <c r="K44" s="2"/>
      <c r="L44" s="2"/>
      <c r="M44" s="2"/>
      <c r="N44" s="2"/>
      <c r="O44" s="2"/>
      <c r="P44" s="2"/>
    </row>
    <row r="45" spans="1:16" x14ac:dyDescent="0.35">
      <c r="A45" s="11" t="s">
        <v>87</v>
      </c>
      <c r="B45" s="17"/>
      <c r="C45" s="2"/>
      <c r="D45" s="2"/>
      <c r="E45" s="2"/>
      <c r="F45" s="2"/>
      <c r="G45" s="2"/>
      <c r="H45" s="2"/>
      <c r="I45" s="2"/>
      <c r="J45" s="2"/>
      <c r="K45" s="2"/>
      <c r="L45" s="2"/>
      <c r="M45" s="2"/>
      <c r="N45" s="2"/>
      <c r="O45" s="2"/>
      <c r="P45" s="2"/>
    </row>
    <row r="46" spans="1:16" x14ac:dyDescent="0.35">
      <c r="A46" s="11" t="s">
        <v>28</v>
      </c>
      <c r="B46" s="17"/>
      <c r="C46" s="2"/>
      <c r="D46" s="2"/>
      <c r="E46" s="2"/>
      <c r="F46" s="2"/>
      <c r="G46" s="2"/>
      <c r="H46" s="2"/>
      <c r="I46" s="2"/>
      <c r="J46" s="2"/>
      <c r="K46" s="2"/>
      <c r="L46" s="2"/>
      <c r="M46" s="2"/>
      <c r="N46" s="2"/>
      <c r="O46" s="2"/>
      <c r="P46" s="2"/>
    </row>
    <row r="47" spans="1:16" x14ac:dyDescent="0.35">
      <c r="A47" s="25" t="s">
        <v>88</v>
      </c>
      <c r="B47" s="17"/>
      <c r="C47" s="2"/>
      <c r="D47" s="2"/>
      <c r="E47" s="2"/>
      <c r="F47" s="2"/>
      <c r="G47" s="2"/>
      <c r="H47" s="2"/>
      <c r="I47" s="2"/>
      <c r="J47" s="2"/>
      <c r="K47" s="2"/>
      <c r="L47" s="2"/>
      <c r="M47" s="2"/>
      <c r="N47" s="2"/>
      <c r="O47" s="2"/>
      <c r="P47" s="2"/>
    </row>
    <row r="48" spans="1:16" ht="17" x14ac:dyDescent="0.6">
      <c r="A48" s="13" t="s">
        <v>90</v>
      </c>
      <c r="B48" s="19" t="s">
        <v>127</v>
      </c>
      <c r="C48" s="20">
        <f>SUM(B14:B47)</f>
        <v>2027.42</v>
      </c>
    </row>
    <row r="49" spans="1:3" x14ac:dyDescent="0.35">
      <c r="A49" s="2"/>
      <c r="B49" s="6"/>
      <c r="C49" s="2"/>
    </row>
    <row r="50" spans="1:3" ht="15" thickBot="1" x14ac:dyDescent="0.4">
      <c r="A50" s="18" t="s">
        <v>167</v>
      </c>
      <c r="B50" s="4"/>
      <c r="C50" s="21">
        <f>SUM(C4+C11-C48)</f>
        <v>32692.270000000004</v>
      </c>
    </row>
    <row r="51" spans="1:3" ht="15" thickTop="1" x14ac:dyDescent="0.35"/>
  </sheetData>
  <pageMargins left="0.7" right="0.7" top="0.75" bottom="0.75" header="0.3" footer="0.3"/>
  <pageSetup scale="7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D42669-66EC-416D-B377-AD0711AE58F0}">
  <sheetPr>
    <tabColor rgb="FF00B0F0"/>
    <pageSetUpPr fitToPage="1"/>
  </sheetPr>
  <dimension ref="A1:P51"/>
  <sheetViews>
    <sheetView topLeftCell="A30" zoomScaleNormal="100" workbookViewId="0">
      <selection activeCell="D1" sqref="D1"/>
    </sheetView>
  </sheetViews>
  <sheetFormatPr defaultRowHeight="14.5" x14ac:dyDescent="0.35"/>
  <cols>
    <col min="1" max="1" width="42.54296875" customWidth="1"/>
    <col min="2" max="2" width="15.54296875" customWidth="1"/>
    <col min="3" max="3" width="20.1796875" customWidth="1"/>
    <col min="4" max="4" width="40" customWidth="1"/>
    <col min="6" max="6" width="40.7265625" bestFit="1" customWidth="1"/>
    <col min="8" max="8" width="7.1796875" bestFit="1" customWidth="1"/>
  </cols>
  <sheetData>
    <row r="1" spans="1:16" ht="23.5" x14ac:dyDescent="0.55000000000000004">
      <c r="D1" s="173"/>
    </row>
    <row r="2" spans="1:16" x14ac:dyDescent="0.35">
      <c r="A2" s="4" t="s">
        <v>162</v>
      </c>
      <c r="B2" s="2"/>
      <c r="C2" s="2"/>
      <c r="D2" s="5"/>
      <c r="E2" s="2"/>
      <c r="F2" s="2"/>
      <c r="G2" s="2"/>
      <c r="H2" s="2"/>
      <c r="I2" s="2"/>
      <c r="J2" s="2"/>
      <c r="K2" s="2"/>
      <c r="L2" s="2"/>
      <c r="M2" s="2"/>
      <c r="N2" s="2"/>
      <c r="O2" s="2"/>
      <c r="P2" s="2"/>
    </row>
    <row r="3" spans="1:16" x14ac:dyDescent="0.35">
      <c r="A3" s="1"/>
      <c r="B3" s="6"/>
      <c r="C3" s="7"/>
      <c r="D3" s="7"/>
      <c r="E3" s="7"/>
      <c r="F3" s="7"/>
      <c r="G3" s="7"/>
      <c r="H3" s="7"/>
      <c r="I3" s="7"/>
      <c r="J3" s="7"/>
      <c r="K3" s="7"/>
      <c r="L3" s="7"/>
      <c r="M3" s="7"/>
      <c r="N3" s="7"/>
      <c r="O3" s="7"/>
      <c r="P3" s="7"/>
    </row>
    <row r="4" spans="1:16" ht="15" thickBot="1" x14ac:dyDescent="0.4">
      <c r="A4" s="8" t="s">
        <v>163</v>
      </c>
      <c r="B4" s="6"/>
      <c r="C4" s="9">
        <f>+'February 2024'!C50</f>
        <v>34190.020000000004</v>
      </c>
      <c r="D4" s="7"/>
      <c r="E4" s="7"/>
      <c r="F4" s="7"/>
      <c r="G4" s="7"/>
      <c r="H4" s="7"/>
      <c r="I4" s="7"/>
      <c r="J4" s="7"/>
      <c r="K4" s="7"/>
      <c r="L4" s="7"/>
      <c r="M4" s="7"/>
      <c r="N4" s="7"/>
      <c r="O4" s="7"/>
      <c r="P4" s="7"/>
    </row>
    <row r="5" spans="1:16" x14ac:dyDescent="0.35">
      <c r="A5" s="10" t="s">
        <v>33</v>
      </c>
      <c r="B5" s="6"/>
      <c r="C5" s="7"/>
      <c r="D5" s="7"/>
      <c r="E5" s="7"/>
      <c r="F5" s="7"/>
      <c r="G5" s="7"/>
      <c r="H5" s="7"/>
      <c r="I5" s="7"/>
      <c r="J5" s="7"/>
      <c r="K5" s="7"/>
      <c r="L5" s="7"/>
      <c r="M5" s="7"/>
      <c r="N5" s="7"/>
      <c r="O5" s="7"/>
      <c r="P5" s="7"/>
    </row>
    <row r="6" spans="1:16" x14ac:dyDescent="0.35">
      <c r="A6" s="11" t="s">
        <v>17</v>
      </c>
      <c r="B6" s="12">
        <f>1120+91</f>
        <v>1211</v>
      </c>
      <c r="C6" s="7"/>
      <c r="D6" s="7"/>
      <c r="E6" s="7"/>
      <c r="F6" s="7"/>
      <c r="G6" s="7"/>
      <c r="H6" s="7"/>
      <c r="I6" s="7"/>
      <c r="J6" s="7"/>
      <c r="K6" s="7"/>
      <c r="L6" s="7"/>
      <c r="M6" s="7"/>
      <c r="N6" s="7"/>
      <c r="O6" s="7"/>
      <c r="P6" s="7"/>
    </row>
    <row r="7" spans="1:16" x14ac:dyDescent="0.35">
      <c r="A7" s="11" t="s">
        <v>114</v>
      </c>
      <c r="B7" s="12"/>
      <c r="C7" s="7"/>
      <c r="D7" s="7"/>
      <c r="E7" s="7"/>
      <c r="F7" s="7"/>
      <c r="G7" s="7"/>
      <c r="H7" s="7"/>
      <c r="I7" s="7"/>
      <c r="J7" s="7"/>
      <c r="K7" s="7"/>
      <c r="L7" s="7"/>
      <c r="M7" s="7"/>
      <c r="N7" s="7"/>
      <c r="O7" s="7"/>
      <c r="P7" s="7"/>
    </row>
    <row r="8" spans="1:16" x14ac:dyDescent="0.35">
      <c r="A8" s="11" t="s">
        <v>128</v>
      </c>
      <c r="B8" s="12"/>
      <c r="C8" s="7"/>
      <c r="D8" s="7" t="s">
        <v>23</v>
      </c>
      <c r="E8" s="7" t="s">
        <v>23</v>
      </c>
      <c r="F8" s="7"/>
      <c r="G8" s="7"/>
      <c r="H8" s="7"/>
      <c r="I8" s="7" t="s">
        <v>23</v>
      </c>
      <c r="J8" s="7"/>
      <c r="K8" s="7"/>
      <c r="L8" s="7"/>
      <c r="M8" s="7"/>
      <c r="N8" s="7"/>
      <c r="O8" s="7"/>
      <c r="P8" s="7"/>
    </row>
    <row r="9" spans="1:16" x14ac:dyDescent="0.35">
      <c r="A9" s="11" t="s">
        <v>116</v>
      </c>
      <c r="B9" s="12"/>
      <c r="C9" s="7"/>
      <c r="D9" s="7"/>
      <c r="E9" s="7"/>
      <c r="F9" s="7"/>
      <c r="G9" s="7"/>
      <c r="H9" s="7"/>
      <c r="I9" s="7"/>
      <c r="J9" s="7"/>
      <c r="K9" s="7"/>
      <c r="L9" s="7"/>
      <c r="M9" s="7"/>
      <c r="N9" s="7"/>
      <c r="O9" s="7"/>
      <c r="P9" s="7"/>
    </row>
    <row r="10" spans="1:16" x14ac:dyDescent="0.35">
      <c r="A10" s="11" t="s">
        <v>117</v>
      </c>
      <c r="B10" s="12"/>
      <c r="C10" s="7"/>
      <c r="D10" s="7"/>
      <c r="E10" s="7"/>
      <c r="F10" s="7"/>
      <c r="G10" s="7"/>
      <c r="H10" s="7"/>
      <c r="I10" s="7"/>
      <c r="J10" s="7"/>
      <c r="K10" s="7"/>
      <c r="L10" s="7"/>
      <c r="M10" s="7"/>
      <c r="N10" s="7"/>
      <c r="O10" s="7"/>
      <c r="P10" s="7"/>
    </row>
    <row r="11" spans="1:16" ht="17" x14ac:dyDescent="0.6">
      <c r="A11" s="13" t="s">
        <v>118</v>
      </c>
      <c r="B11" s="14" t="s">
        <v>119</v>
      </c>
      <c r="C11" s="15">
        <f>SUM(B6:B10)</f>
        <v>1211</v>
      </c>
      <c r="D11" s="7"/>
      <c r="E11" s="7"/>
      <c r="F11" s="7"/>
      <c r="G11" s="7"/>
      <c r="H11" s="7"/>
      <c r="I11" s="7"/>
      <c r="J11" s="7"/>
      <c r="K11" s="7"/>
      <c r="L11" s="7"/>
      <c r="M11" s="7"/>
      <c r="N11" s="7"/>
      <c r="O11" s="7"/>
      <c r="P11" s="7"/>
    </row>
    <row r="12" spans="1:16" x14ac:dyDescent="0.35">
      <c r="A12" s="1"/>
      <c r="B12" s="16"/>
      <c r="C12" s="7"/>
      <c r="D12" s="7"/>
      <c r="E12" s="7"/>
      <c r="F12" s="7"/>
      <c r="G12" s="7"/>
      <c r="H12" s="7"/>
      <c r="I12" s="7"/>
      <c r="J12" s="7"/>
      <c r="K12" s="7"/>
      <c r="L12" s="7"/>
      <c r="M12" s="7"/>
      <c r="N12" s="7"/>
      <c r="O12" s="7"/>
      <c r="P12" s="7"/>
    </row>
    <row r="13" spans="1:16" x14ac:dyDescent="0.35">
      <c r="A13" s="10" t="s">
        <v>34</v>
      </c>
      <c r="B13" s="16"/>
      <c r="C13" s="7"/>
      <c r="D13" s="7"/>
      <c r="E13" s="7"/>
      <c r="F13" s="7"/>
      <c r="G13" s="7"/>
      <c r="H13" s="7"/>
      <c r="I13" s="7"/>
      <c r="J13" s="7"/>
      <c r="K13" s="7"/>
      <c r="L13" s="7"/>
      <c r="M13" s="7"/>
      <c r="N13" s="7"/>
      <c r="O13" s="7"/>
      <c r="P13" s="7"/>
    </row>
    <row r="14" spans="1:16" x14ac:dyDescent="0.35">
      <c r="A14" s="11" t="s">
        <v>57</v>
      </c>
      <c r="B14" s="17"/>
      <c r="C14" s="7"/>
      <c r="D14" s="7"/>
      <c r="E14" s="7"/>
      <c r="F14" s="7"/>
      <c r="G14" s="7"/>
      <c r="H14" s="7"/>
      <c r="I14" s="7"/>
      <c r="J14" s="7"/>
      <c r="K14" s="7"/>
      <c r="L14" s="7"/>
      <c r="M14" s="7"/>
      <c r="N14" s="7"/>
      <c r="O14" s="7"/>
      <c r="P14" s="7"/>
    </row>
    <row r="15" spans="1:16" x14ac:dyDescent="0.35">
      <c r="A15" s="11" t="s">
        <v>58</v>
      </c>
      <c r="B15" s="17"/>
      <c r="C15" s="7"/>
      <c r="D15" s="7"/>
      <c r="E15" s="7"/>
      <c r="F15" s="7"/>
      <c r="G15" s="7"/>
      <c r="H15" s="7"/>
      <c r="I15" s="7"/>
      <c r="J15" s="7"/>
      <c r="K15" s="7"/>
      <c r="L15" s="7"/>
      <c r="M15" s="7"/>
      <c r="N15" s="7"/>
      <c r="O15" s="7"/>
      <c r="P15" s="7"/>
    </row>
    <row r="16" spans="1:16" x14ac:dyDescent="0.35">
      <c r="A16" s="11" t="s">
        <v>59</v>
      </c>
      <c r="B16" s="17"/>
      <c r="C16" s="7"/>
      <c r="D16" s="7"/>
      <c r="E16" s="7"/>
      <c r="F16" s="7"/>
      <c r="G16" s="7"/>
      <c r="H16" s="7"/>
      <c r="I16" s="7"/>
      <c r="J16" s="7"/>
      <c r="K16" s="7"/>
      <c r="L16" s="7"/>
      <c r="M16" s="7"/>
      <c r="N16" s="7"/>
      <c r="O16" s="7"/>
      <c r="P16" s="7"/>
    </row>
    <row r="17" spans="1:16" x14ac:dyDescent="0.35">
      <c r="A17" s="11" t="s">
        <v>120</v>
      </c>
      <c r="B17" s="17"/>
      <c r="C17" s="7"/>
      <c r="D17" s="7"/>
      <c r="E17" s="7"/>
      <c r="F17" s="7"/>
      <c r="G17" s="7"/>
      <c r="H17" s="7"/>
      <c r="I17" s="7"/>
      <c r="J17" s="7"/>
      <c r="K17" s="7"/>
      <c r="L17" s="7"/>
      <c r="M17" s="7"/>
      <c r="N17" s="7"/>
      <c r="O17" s="7"/>
      <c r="P17" s="7"/>
    </row>
    <row r="18" spans="1:16" x14ac:dyDescent="0.35">
      <c r="A18" s="11" t="s">
        <v>61</v>
      </c>
      <c r="B18" s="17">
        <f>-'2024 Check Register-p3'!E26</f>
        <v>27.85</v>
      </c>
      <c r="C18" s="7"/>
      <c r="D18" s="7"/>
      <c r="E18" s="7"/>
      <c r="F18" s="7"/>
      <c r="G18" s="7"/>
      <c r="H18" s="7"/>
      <c r="I18" s="7"/>
      <c r="J18" s="7"/>
      <c r="K18" s="7"/>
      <c r="L18" s="7"/>
      <c r="M18" s="7"/>
      <c r="N18" s="7"/>
      <c r="O18" s="7"/>
      <c r="P18" s="7"/>
    </row>
    <row r="19" spans="1:16" x14ac:dyDescent="0.35">
      <c r="A19" s="11" t="s">
        <v>62</v>
      </c>
      <c r="B19" s="17"/>
      <c r="C19" s="7"/>
      <c r="D19" s="7"/>
      <c r="E19" s="7"/>
      <c r="F19" s="7"/>
      <c r="G19" s="7"/>
      <c r="H19" s="7"/>
      <c r="I19" s="7"/>
      <c r="J19" s="7"/>
      <c r="K19" s="7"/>
      <c r="L19" s="7"/>
      <c r="M19" s="7"/>
      <c r="N19" s="7"/>
      <c r="O19" s="7"/>
      <c r="P19" s="7"/>
    </row>
    <row r="20" spans="1:16" x14ac:dyDescent="0.35">
      <c r="A20" s="11" t="s">
        <v>63</v>
      </c>
      <c r="B20" s="17">
        <v>100</v>
      </c>
      <c r="C20" s="7" t="s">
        <v>220</v>
      </c>
      <c r="D20" s="7"/>
      <c r="E20" s="7"/>
      <c r="F20" s="7"/>
      <c r="G20" s="7"/>
      <c r="H20" s="7"/>
      <c r="I20" s="7"/>
      <c r="J20" s="7"/>
      <c r="K20" s="7"/>
      <c r="L20" s="7"/>
      <c r="M20" s="7"/>
      <c r="N20" s="7"/>
      <c r="O20" s="7"/>
      <c r="P20" s="7"/>
    </row>
    <row r="21" spans="1:16" x14ac:dyDescent="0.35">
      <c r="A21" s="11" t="s">
        <v>64</v>
      </c>
      <c r="B21" s="17"/>
      <c r="C21" s="7"/>
      <c r="D21" s="7"/>
      <c r="E21" s="7"/>
      <c r="F21" s="7"/>
      <c r="G21" s="7"/>
      <c r="H21" s="7"/>
      <c r="I21" s="7"/>
      <c r="J21" s="7"/>
      <c r="K21" s="7"/>
      <c r="L21" s="7"/>
      <c r="M21" s="7"/>
      <c r="N21" s="7"/>
      <c r="O21" s="7"/>
      <c r="P21" s="7"/>
    </row>
    <row r="22" spans="1:16" x14ac:dyDescent="0.35">
      <c r="A22" s="11" t="s">
        <v>121</v>
      </c>
      <c r="B22" s="17">
        <v>3000</v>
      </c>
      <c r="C22" s="7" t="s">
        <v>222</v>
      </c>
      <c r="D22" s="7"/>
      <c r="E22" s="7"/>
      <c r="F22" s="7"/>
      <c r="G22" s="7"/>
      <c r="H22" s="7"/>
      <c r="I22" s="7"/>
      <c r="J22" s="7"/>
      <c r="K22" s="7"/>
      <c r="L22" s="7"/>
      <c r="M22" s="7"/>
      <c r="N22" s="7"/>
      <c r="O22" s="7"/>
      <c r="P22" s="7"/>
    </row>
    <row r="23" spans="1:16" x14ac:dyDescent="0.35">
      <c r="A23" s="11" t="s">
        <v>66</v>
      </c>
      <c r="B23" s="17"/>
      <c r="C23" s="7"/>
      <c r="D23" s="7"/>
      <c r="E23" s="7"/>
      <c r="F23" s="7"/>
      <c r="G23" s="7"/>
      <c r="H23" s="7"/>
      <c r="I23" s="7"/>
      <c r="J23" s="7"/>
      <c r="K23" s="7"/>
      <c r="L23" s="7"/>
      <c r="M23" s="7"/>
      <c r="N23" s="7"/>
      <c r="O23" s="7"/>
      <c r="P23" s="7"/>
    </row>
    <row r="24" spans="1:16" x14ac:dyDescent="0.35">
      <c r="A24" s="11" t="s">
        <v>67</v>
      </c>
      <c r="B24" s="17"/>
      <c r="C24" s="7"/>
      <c r="D24" s="7"/>
      <c r="E24" s="7"/>
      <c r="F24" s="7"/>
      <c r="G24" s="7"/>
      <c r="H24" s="7"/>
      <c r="I24" s="7"/>
      <c r="J24" s="7"/>
      <c r="K24" s="7"/>
      <c r="L24" s="7"/>
      <c r="M24" s="7"/>
      <c r="N24" s="7"/>
      <c r="O24" s="7"/>
      <c r="P24" s="7"/>
    </row>
    <row r="25" spans="1:16" x14ac:dyDescent="0.35">
      <c r="A25" s="11" t="s">
        <v>68</v>
      </c>
      <c r="B25" s="17"/>
      <c r="C25" s="7"/>
      <c r="D25" s="7"/>
      <c r="E25" s="7"/>
      <c r="F25" s="7"/>
      <c r="G25" s="7"/>
      <c r="H25" s="7"/>
      <c r="I25" s="7"/>
      <c r="J25" s="7"/>
      <c r="K25" s="7"/>
      <c r="L25" s="7"/>
      <c r="M25" s="7"/>
      <c r="N25" s="7"/>
      <c r="O25" s="7"/>
      <c r="P25" s="7"/>
    </row>
    <row r="26" spans="1:16" x14ac:dyDescent="0.35">
      <c r="A26" s="11" t="s">
        <v>69</v>
      </c>
      <c r="B26" s="17"/>
      <c r="C26" s="7"/>
      <c r="D26" s="7"/>
      <c r="E26" s="7"/>
      <c r="F26" s="7"/>
      <c r="G26" s="7"/>
      <c r="H26" s="7"/>
      <c r="I26" s="7"/>
      <c r="J26" s="7"/>
      <c r="K26" s="7"/>
      <c r="L26" s="7"/>
      <c r="M26" s="7"/>
      <c r="N26" s="7"/>
      <c r="O26" s="7"/>
      <c r="P26" s="7"/>
    </row>
    <row r="27" spans="1:16" x14ac:dyDescent="0.35">
      <c r="A27" s="11" t="s">
        <v>122</v>
      </c>
      <c r="B27" s="17"/>
      <c r="C27" s="7"/>
      <c r="D27" s="7"/>
      <c r="E27" s="7"/>
      <c r="F27" s="7"/>
      <c r="G27" s="7"/>
      <c r="H27" s="7"/>
      <c r="I27" s="7"/>
      <c r="J27" s="7"/>
      <c r="K27" s="7"/>
      <c r="L27" s="7"/>
      <c r="M27" s="7"/>
      <c r="N27" s="7"/>
      <c r="O27" s="7"/>
      <c r="P27" s="7"/>
    </row>
    <row r="28" spans="1:16" x14ac:dyDescent="0.35">
      <c r="A28" s="11" t="s">
        <v>123</v>
      </c>
      <c r="B28" s="17"/>
      <c r="C28" s="7"/>
      <c r="D28" s="7"/>
      <c r="E28" s="7"/>
      <c r="F28" s="7"/>
      <c r="G28" s="7"/>
      <c r="H28" s="7"/>
      <c r="I28" s="7"/>
      <c r="J28" s="7"/>
      <c r="K28" s="7"/>
      <c r="L28" s="7"/>
      <c r="M28" s="7"/>
      <c r="N28" s="7"/>
      <c r="O28" s="7"/>
      <c r="P28" s="7"/>
    </row>
    <row r="29" spans="1:16" x14ac:dyDescent="0.35">
      <c r="A29" s="11" t="s">
        <v>72</v>
      </c>
      <c r="B29" s="17"/>
      <c r="C29" s="7"/>
      <c r="D29" s="7"/>
      <c r="E29" s="7"/>
      <c r="F29" s="7"/>
      <c r="G29" s="7"/>
      <c r="H29" s="7"/>
      <c r="I29" s="7"/>
      <c r="J29" s="7"/>
      <c r="K29" s="7"/>
      <c r="L29" s="7"/>
      <c r="M29" s="7"/>
      <c r="N29" s="7"/>
      <c r="O29" s="7"/>
      <c r="P29" s="7"/>
    </row>
    <row r="30" spans="1:16" x14ac:dyDescent="0.35">
      <c r="A30" s="11" t="s">
        <v>73</v>
      </c>
      <c r="B30" s="17"/>
      <c r="C30" s="7"/>
      <c r="D30" s="7"/>
      <c r="E30" s="171"/>
      <c r="I30" s="172"/>
      <c r="J30" s="7"/>
      <c r="K30" s="7"/>
      <c r="L30" s="7"/>
      <c r="M30" s="7"/>
      <c r="N30" s="7"/>
      <c r="O30" s="7"/>
      <c r="P30" s="7"/>
    </row>
    <row r="31" spans="1:16" x14ac:dyDescent="0.35">
      <c r="A31" s="11" t="s">
        <v>74</v>
      </c>
      <c r="B31" s="17">
        <f>+'Mileage-p4'!E19</f>
        <v>26.4</v>
      </c>
      <c r="C31" s="7" t="s">
        <v>124</v>
      </c>
      <c r="D31" s="7"/>
      <c r="E31" s="171"/>
      <c r="I31" s="172"/>
      <c r="J31" s="7"/>
      <c r="K31" s="7"/>
      <c r="L31" s="7"/>
      <c r="M31" s="7"/>
      <c r="N31" s="7"/>
      <c r="O31" s="7"/>
      <c r="P31" s="7"/>
    </row>
    <row r="32" spans="1:16" x14ac:dyDescent="0.35">
      <c r="A32" s="11" t="s">
        <v>125</v>
      </c>
      <c r="B32" s="17"/>
      <c r="C32" s="7"/>
      <c r="D32" s="7"/>
      <c r="E32" s="171"/>
      <c r="I32" s="172"/>
      <c r="J32" s="7"/>
      <c r="K32" s="7"/>
      <c r="L32" s="7"/>
      <c r="M32" s="7"/>
      <c r="N32" s="7"/>
      <c r="O32" s="7"/>
      <c r="P32" s="7"/>
    </row>
    <row r="33" spans="1:16" x14ac:dyDescent="0.35">
      <c r="A33" s="11" t="s">
        <v>76</v>
      </c>
      <c r="B33" s="17">
        <f>300+300</f>
        <v>600</v>
      </c>
      <c r="C33" s="7" t="s">
        <v>225</v>
      </c>
      <c r="D33" s="7"/>
      <c r="E33" s="7"/>
      <c r="F33" s="7"/>
      <c r="G33" s="7"/>
      <c r="H33" s="7"/>
      <c r="I33" s="7"/>
      <c r="K33" s="7"/>
      <c r="L33" s="7"/>
      <c r="M33" s="7"/>
      <c r="N33" s="7"/>
      <c r="O33" s="7"/>
      <c r="P33" s="7"/>
    </row>
    <row r="34" spans="1:16" x14ac:dyDescent="0.35">
      <c r="A34" s="11" t="s">
        <v>77</v>
      </c>
      <c r="B34" s="17"/>
      <c r="C34" s="7"/>
      <c r="D34" s="7"/>
      <c r="E34" s="7"/>
      <c r="F34" s="7"/>
      <c r="G34" s="7"/>
      <c r="H34" s="7"/>
      <c r="I34" s="7"/>
      <c r="K34" s="7"/>
      <c r="L34" s="7"/>
      <c r="M34" s="7"/>
      <c r="N34" s="7"/>
      <c r="O34" s="7"/>
      <c r="P34" s="7"/>
    </row>
    <row r="35" spans="1:16" x14ac:dyDescent="0.35">
      <c r="A35" s="11" t="s">
        <v>54</v>
      </c>
      <c r="B35" s="17">
        <f>-'2024 Check Register-p3'!E30</f>
        <v>2179.1799999999998</v>
      </c>
      <c r="C35" s="7" t="s">
        <v>244</v>
      </c>
      <c r="D35" s="7"/>
      <c r="E35" s="7"/>
      <c r="F35" s="7"/>
      <c r="G35" s="7"/>
      <c r="H35" s="7"/>
      <c r="I35" s="7"/>
      <c r="J35" s="7"/>
      <c r="K35" s="7"/>
      <c r="L35" s="7"/>
      <c r="M35" s="7"/>
      <c r="N35" s="7"/>
      <c r="O35" s="7"/>
      <c r="P35" s="7"/>
    </row>
    <row r="36" spans="1:16" x14ac:dyDescent="0.35">
      <c r="A36" s="11" t="s">
        <v>78</v>
      </c>
      <c r="B36" s="17"/>
      <c r="C36" s="7"/>
      <c r="D36" s="7"/>
      <c r="E36" s="7"/>
      <c r="F36" s="7"/>
      <c r="G36" s="7"/>
      <c r="H36" s="7"/>
      <c r="I36" s="7"/>
      <c r="J36" s="7"/>
      <c r="K36" s="7"/>
      <c r="L36" s="7"/>
      <c r="M36" s="7"/>
      <c r="N36" s="7"/>
      <c r="O36" s="7"/>
      <c r="P36" s="7"/>
    </row>
    <row r="37" spans="1:16" x14ac:dyDescent="0.35">
      <c r="A37" s="11" t="s">
        <v>79</v>
      </c>
      <c r="B37" s="17"/>
      <c r="C37" s="7"/>
      <c r="D37" s="7"/>
      <c r="E37" s="7"/>
      <c r="F37" s="7"/>
      <c r="G37" s="7"/>
      <c r="H37" s="7"/>
      <c r="I37" s="7"/>
      <c r="J37" s="7"/>
      <c r="K37" s="7"/>
      <c r="L37" s="7"/>
      <c r="M37" s="7"/>
      <c r="N37" s="7"/>
      <c r="O37" s="7"/>
      <c r="P37" s="7"/>
    </row>
    <row r="38" spans="1:16" x14ac:dyDescent="0.35">
      <c r="A38" s="25" t="s">
        <v>80</v>
      </c>
      <c r="B38" s="17"/>
      <c r="C38" s="7"/>
      <c r="D38" s="7"/>
      <c r="E38" s="7"/>
      <c r="F38" s="7"/>
      <c r="G38" s="7"/>
      <c r="H38" s="7"/>
      <c r="I38" s="7"/>
      <c r="J38" s="7"/>
      <c r="K38" s="7"/>
      <c r="L38" s="7"/>
      <c r="M38" s="7"/>
      <c r="N38" s="7"/>
      <c r="O38" s="7"/>
      <c r="P38" s="7"/>
    </row>
    <row r="39" spans="1:16" x14ac:dyDescent="0.35">
      <c r="A39" s="11" t="s">
        <v>81</v>
      </c>
      <c r="B39" s="17"/>
      <c r="C39" s="2"/>
      <c r="D39" s="7"/>
      <c r="E39" s="7"/>
      <c r="F39" s="7"/>
      <c r="G39" s="7"/>
      <c r="H39" s="7"/>
      <c r="I39" s="7"/>
      <c r="J39" s="7"/>
      <c r="K39" s="7"/>
      <c r="L39" s="7"/>
      <c r="M39" s="7"/>
      <c r="N39" s="7"/>
      <c r="O39" s="7"/>
      <c r="P39" s="7"/>
    </row>
    <row r="40" spans="1:16" x14ac:dyDescent="0.35">
      <c r="A40" s="11" t="s">
        <v>82</v>
      </c>
      <c r="B40" s="17"/>
      <c r="C40" s="2"/>
      <c r="D40" s="7"/>
      <c r="E40" s="7"/>
      <c r="F40" s="7"/>
      <c r="G40" s="7"/>
      <c r="H40" s="7"/>
      <c r="I40" s="7"/>
      <c r="J40" s="7"/>
      <c r="K40" s="7"/>
      <c r="L40" s="7"/>
      <c r="M40" s="7"/>
      <c r="N40" s="7"/>
      <c r="O40" s="7"/>
      <c r="P40" s="7"/>
    </row>
    <row r="41" spans="1:16" x14ac:dyDescent="0.35">
      <c r="A41" s="25" t="s">
        <v>83</v>
      </c>
      <c r="B41" s="17"/>
      <c r="C41" s="2"/>
      <c r="D41" s="2"/>
      <c r="E41" s="2"/>
      <c r="F41" s="2"/>
      <c r="G41" s="2"/>
      <c r="H41" s="2"/>
      <c r="I41" s="2"/>
      <c r="J41" s="2"/>
      <c r="K41" s="2"/>
      <c r="L41" s="2"/>
      <c r="M41" s="2"/>
      <c r="N41" s="2"/>
      <c r="O41" s="2"/>
      <c r="P41" s="2"/>
    </row>
    <row r="42" spans="1:16" x14ac:dyDescent="0.35">
      <c r="A42" s="27" t="s">
        <v>24</v>
      </c>
      <c r="B42" s="28"/>
      <c r="C42" s="2"/>
      <c r="D42" s="2"/>
      <c r="E42" s="2"/>
      <c r="F42" s="2"/>
      <c r="G42" s="2"/>
      <c r="H42" s="2"/>
      <c r="I42" s="2"/>
      <c r="J42" s="2"/>
      <c r="K42" s="2"/>
      <c r="L42" s="2"/>
      <c r="M42" s="2"/>
      <c r="N42" s="2"/>
      <c r="O42" s="2"/>
      <c r="P42" s="2"/>
    </row>
    <row r="43" spans="1:16" x14ac:dyDescent="0.35">
      <c r="A43" s="11" t="s">
        <v>126</v>
      </c>
      <c r="B43" s="17"/>
      <c r="C43" s="2"/>
      <c r="D43" s="2"/>
      <c r="E43" s="2"/>
      <c r="F43" s="2"/>
      <c r="G43" s="2"/>
      <c r="H43" s="2"/>
      <c r="I43" s="2"/>
      <c r="J43" s="2"/>
      <c r="K43" s="2"/>
      <c r="L43" s="2"/>
      <c r="M43" s="2"/>
      <c r="N43" s="2"/>
      <c r="O43" s="2"/>
      <c r="P43" s="2"/>
    </row>
    <row r="44" spans="1:16" x14ac:dyDescent="0.35">
      <c r="A44" s="11" t="s">
        <v>86</v>
      </c>
      <c r="B44" s="17">
        <f>2000+767+191.75</f>
        <v>2958.75</v>
      </c>
      <c r="C44" s="2" t="s">
        <v>243</v>
      </c>
      <c r="D44" s="2"/>
      <c r="E44" s="2"/>
      <c r="F44" s="2"/>
      <c r="G44" s="2"/>
      <c r="H44" s="2"/>
      <c r="I44" s="2"/>
      <c r="J44" s="2"/>
      <c r="K44" s="2"/>
      <c r="L44" s="2"/>
      <c r="M44" s="2"/>
      <c r="N44" s="2"/>
      <c r="O44" s="2"/>
      <c r="P44" s="2"/>
    </row>
    <row r="45" spans="1:16" x14ac:dyDescent="0.35">
      <c r="A45" s="11" t="s">
        <v>87</v>
      </c>
      <c r="B45" s="17">
        <f>767+191.75</f>
        <v>958.75</v>
      </c>
      <c r="C45" s="2" t="s">
        <v>223</v>
      </c>
      <c r="D45" s="2"/>
      <c r="E45" s="2"/>
      <c r="F45" s="2"/>
      <c r="G45" s="2"/>
      <c r="H45" s="2"/>
      <c r="I45" s="2"/>
      <c r="J45" s="2"/>
      <c r="K45" s="2"/>
      <c r="L45" s="2"/>
      <c r="M45" s="2"/>
      <c r="N45" s="2"/>
      <c r="O45" s="2"/>
      <c r="P45" s="2"/>
    </row>
    <row r="46" spans="1:16" x14ac:dyDescent="0.35">
      <c r="A46" s="11" t="s">
        <v>28</v>
      </c>
      <c r="B46" s="17"/>
      <c r="C46" s="2"/>
      <c r="D46" s="2"/>
      <c r="E46" s="2"/>
      <c r="F46" s="2"/>
      <c r="G46" s="2"/>
      <c r="H46" s="2"/>
      <c r="I46" s="2"/>
      <c r="J46" s="2"/>
      <c r="K46" s="2"/>
      <c r="L46" s="2"/>
      <c r="M46" s="2"/>
      <c r="N46" s="2"/>
      <c r="O46" s="2"/>
      <c r="P46" s="2"/>
    </row>
    <row r="47" spans="1:16" x14ac:dyDescent="0.35">
      <c r="A47" s="25" t="s">
        <v>88</v>
      </c>
      <c r="B47" s="17"/>
      <c r="C47" s="2"/>
      <c r="D47" s="2"/>
      <c r="E47" s="2"/>
      <c r="F47" s="2"/>
      <c r="G47" s="2"/>
      <c r="H47" s="2"/>
      <c r="I47" s="2"/>
      <c r="J47" s="2"/>
      <c r="K47" s="2"/>
      <c r="L47" s="2"/>
      <c r="M47" s="2"/>
      <c r="N47" s="2"/>
      <c r="O47" s="2"/>
      <c r="P47" s="2"/>
    </row>
    <row r="48" spans="1:16" ht="17" x14ac:dyDescent="0.6">
      <c r="A48" s="13" t="s">
        <v>90</v>
      </c>
      <c r="B48" s="19" t="s">
        <v>127</v>
      </c>
      <c r="C48" s="20">
        <f>SUM(B14:B47)</f>
        <v>9850.93</v>
      </c>
      <c r="D48" s="2"/>
      <c r="E48" s="2"/>
      <c r="F48" s="2"/>
      <c r="G48" s="2"/>
      <c r="H48" s="2"/>
      <c r="I48" s="2"/>
      <c r="J48" s="2"/>
      <c r="K48" s="2"/>
      <c r="L48" s="2"/>
      <c r="M48" s="2"/>
      <c r="N48" s="2"/>
      <c r="O48" s="2"/>
      <c r="P48" s="2"/>
    </row>
    <row r="49" spans="1:3" x14ac:dyDescent="0.35">
      <c r="A49" s="2"/>
      <c r="B49" s="6"/>
      <c r="C49" s="2"/>
    </row>
    <row r="50" spans="1:3" ht="15" thickBot="1" x14ac:dyDescent="0.4">
      <c r="A50" s="18" t="s">
        <v>164</v>
      </c>
      <c r="B50" s="4"/>
      <c r="C50" s="21">
        <f>SUM(C4+C11-C48)</f>
        <v>25550.090000000004</v>
      </c>
    </row>
    <row r="51" spans="1:3" ht="15" thickTop="1" x14ac:dyDescent="0.35"/>
  </sheetData>
  <pageMargins left="0.7" right="0.7" top="0.75" bottom="0.75" header="0.3" footer="0.3"/>
  <pageSetup scale="76"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678CB-A756-4E06-8733-B644EA65259A}">
  <sheetPr>
    <tabColor rgb="FF00B0F0"/>
    <pageSetUpPr fitToPage="1"/>
  </sheetPr>
  <dimension ref="A1:P52"/>
  <sheetViews>
    <sheetView topLeftCell="A33" zoomScaleNormal="100" workbookViewId="0">
      <selection activeCell="D1" sqref="D1"/>
    </sheetView>
  </sheetViews>
  <sheetFormatPr defaultRowHeight="14.5" x14ac:dyDescent="0.35"/>
  <cols>
    <col min="1" max="1" width="42.54296875" customWidth="1"/>
    <col min="2" max="2" width="15.54296875" customWidth="1"/>
    <col min="3" max="3" width="20.1796875" customWidth="1"/>
    <col min="4" max="4" width="30.81640625" customWidth="1"/>
    <col min="5" max="5" width="8.81640625" customWidth="1"/>
    <col min="6" max="6" width="40.7265625" bestFit="1" customWidth="1"/>
    <col min="8" max="8" width="7.1796875" bestFit="1" customWidth="1"/>
  </cols>
  <sheetData>
    <row r="1" spans="1:16" ht="23.5" x14ac:dyDescent="0.55000000000000004">
      <c r="A1" s="1"/>
      <c r="B1" s="2"/>
      <c r="C1" s="2"/>
      <c r="D1" s="173"/>
      <c r="E1" s="2"/>
      <c r="F1" s="2"/>
      <c r="G1" s="2"/>
      <c r="H1" s="2"/>
      <c r="I1" s="2"/>
      <c r="J1" s="2"/>
      <c r="K1" s="2"/>
      <c r="L1" s="2"/>
      <c r="M1" s="2"/>
      <c r="N1" s="2"/>
      <c r="O1" s="2"/>
      <c r="P1" s="2"/>
    </row>
    <row r="2" spans="1:16" x14ac:dyDescent="0.35">
      <c r="A2" s="4" t="s">
        <v>159</v>
      </c>
      <c r="B2" s="2"/>
      <c r="C2" s="2"/>
      <c r="D2" s="5"/>
      <c r="E2" s="2"/>
      <c r="F2" s="2"/>
      <c r="G2" s="2"/>
      <c r="H2" s="2"/>
      <c r="I2" s="2"/>
      <c r="J2" s="2"/>
      <c r="K2" s="2"/>
      <c r="L2" s="2"/>
      <c r="M2" s="2"/>
      <c r="N2" s="2"/>
      <c r="O2" s="2"/>
      <c r="P2" s="2"/>
    </row>
    <row r="3" spans="1:16" x14ac:dyDescent="0.35">
      <c r="A3" s="1"/>
      <c r="B3" s="6"/>
      <c r="C3" s="7"/>
      <c r="D3" s="7"/>
      <c r="E3" s="7"/>
      <c r="F3" s="7"/>
      <c r="G3" s="7"/>
      <c r="H3" s="7"/>
      <c r="I3" s="7"/>
      <c r="J3" s="7"/>
      <c r="K3" s="7"/>
      <c r="L3" s="7"/>
      <c r="M3" s="7"/>
      <c r="N3" s="7"/>
      <c r="O3" s="7"/>
      <c r="P3" s="7"/>
    </row>
    <row r="4" spans="1:16" ht="15" thickBot="1" x14ac:dyDescent="0.4">
      <c r="A4" s="8" t="s">
        <v>160</v>
      </c>
      <c r="B4" s="6"/>
      <c r="C4" s="9">
        <f>+'January 2024'!C50</f>
        <v>35912.490000000005</v>
      </c>
      <c r="D4" s="7"/>
      <c r="E4" s="7"/>
      <c r="F4" s="7"/>
      <c r="G4" s="7"/>
      <c r="H4" s="7"/>
      <c r="I4" s="7"/>
      <c r="J4" s="7"/>
      <c r="K4" s="7"/>
      <c r="L4" s="7"/>
      <c r="M4" s="7"/>
      <c r="N4" s="7"/>
      <c r="O4" s="7"/>
      <c r="P4" s="7"/>
    </row>
    <row r="5" spans="1:16" x14ac:dyDescent="0.35">
      <c r="A5" s="10" t="s">
        <v>33</v>
      </c>
      <c r="B5" s="6"/>
      <c r="C5" s="7"/>
      <c r="D5" s="7"/>
      <c r="E5" s="7"/>
      <c r="F5" s="7"/>
      <c r="G5" s="7"/>
      <c r="H5" s="7"/>
      <c r="I5" s="7"/>
      <c r="J5" s="7"/>
      <c r="K5" s="7"/>
      <c r="L5" s="7"/>
      <c r="M5" s="7"/>
      <c r="N5" s="7"/>
      <c r="O5" s="7"/>
      <c r="P5" s="7"/>
    </row>
    <row r="6" spans="1:16" x14ac:dyDescent="0.35">
      <c r="A6" s="11" t="s">
        <v>17</v>
      </c>
      <c r="B6" s="12">
        <v>1940.08</v>
      </c>
      <c r="C6" s="7"/>
      <c r="D6" s="7" t="s">
        <v>23</v>
      </c>
      <c r="E6" s="7"/>
      <c r="F6" s="7"/>
      <c r="G6" s="7"/>
      <c r="H6" s="7"/>
      <c r="I6" s="7"/>
      <c r="J6" s="7"/>
      <c r="K6" s="7"/>
      <c r="L6" s="7"/>
      <c r="M6" s="7"/>
      <c r="N6" s="7"/>
      <c r="O6" s="7"/>
      <c r="P6" s="7"/>
    </row>
    <row r="7" spans="1:16" x14ac:dyDescent="0.35">
      <c r="A7" s="11" t="s">
        <v>114</v>
      </c>
      <c r="B7" s="12"/>
      <c r="C7" s="7"/>
      <c r="D7" s="7"/>
      <c r="E7" s="7"/>
      <c r="F7" s="7"/>
      <c r="G7" s="7"/>
      <c r="H7" s="7"/>
      <c r="I7" s="7"/>
      <c r="J7" s="7"/>
      <c r="K7" s="7"/>
      <c r="L7" s="7"/>
      <c r="M7" s="7"/>
      <c r="N7" s="7"/>
      <c r="O7" s="7"/>
      <c r="P7" s="7"/>
    </row>
    <row r="8" spans="1:16" x14ac:dyDescent="0.35">
      <c r="A8" s="11" t="s">
        <v>128</v>
      </c>
      <c r="B8" s="12"/>
      <c r="C8" s="7"/>
      <c r="D8" s="7"/>
      <c r="E8" s="7"/>
      <c r="F8" s="7"/>
      <c r="G8" s="7"/>
      <c r="H8" s="7"/>
      <c r="I8" s="7"/>
      <c r="J8" s="7"/>
      <c r="K8" s="7"/>
      <c r="L8" s="7"/>
      <c r="M8" s="7"/>
      <c r="N8" s="7"/>
      <c r="O8" s="7"/>
      <c r="P8" s="7"/>
    </row>
    <row r="9" spans="1:16" x14ac:dyDescent="0.35">
      <c r="A9" s="11" t="s">
        <v>116</v>
      </c>
      <c r="B9" s="12"/>
      <c r="C9" s="7"/>
      <c r="D9" s="7"/>
      <c r="E9" s="7"/>
      <c r="F9" s="7"/>
      <c r="G9" s="7"/>
      <c r="H9" s="7"/>
      <c r="I9" s="7"/>
      <c r="J9" s="7"/>
      <c r="K9" s="7"/>
      <c r="L9" s="7"/>
      <c r="M9" s="7"/>
      <c r="N9" s="7"/>
      <c r="O9" s="7"/>
      <c r="P9" s="7"/>
    </row>
    <row r="10" spans="1:16" x14ac:dyDescent="0.35">
      <c r="A10" s="11" t="s">
        <v>117</v>
      </c>
      <c r="B10" s="12"/>
      <c r="C10" s="7"/>
      <c r="D10" s="7"/>
      <c r="E10" s="7"/>
      <c r="F10" s="7"/>
      <c r="G10" s="7"/>
      <c r="H10" s="7"/>
      <c r="I10" s="7"/>
      <c r="J10" s="7"/>
      <c r="K10" s="7"/>
      <c r="L10" s="7"/>
      <c r="M10" s="7"/>
      <c r="N10" s="7"/>
      <c r="O10" s="7"/>
      <c r="P10" s="7"/>
    </row>
    <row r="11" spans="1:16" ht="17" x14ac:dyDescent="0.6">
      <c r="A11" s="13" t="s">
        <v>118</v>
      </c>
      <c r="B11" s="14" t="s">
        <v>119</v>
      </c>
      <c r="C11" s="15">
        <f>SUM(B6:B10)</f>
        <v>1940.08</v>
      </c>
      <c r="D11" s="7"/>
      <c r="E11" s="7"/>
      <c r="F11" s="7"/>
      <c r="G11" s="7"/>
      <c r="H11" s="7"/>
      <c r="I11" s="7"/>
      <c r="J11" s="7"/>
      <c r="K11" s="7"/>
      <c r="L11" s="7"/>
      <c r="M11" s="7"/>
      <c r="N11" s="7"/>
      <c r="O11" s="7"/>
      <c r="P11" s="7"/>
    </row>
    <row r="12" spans="1:16" x14ac:dyDescent="0.35">
      <c r="A12" s="1"/>
      <c r="B12" s="16"/>
      <c r="C12" s="7"/>
      <c r="D12" s="7"/>
      <c r="E12" s="7"/>
      <c r="F12" s="7"/>
      <c r="G12" s="7"/>
      <c r="H12" s="7"/>
      <c r="I12" s="7"/>
      <c r="J12" s="7"/>
      <c r="K12" s="7"/>
      <c r="L12" s="7"/>
      <c r="M12" s="7"/>
      <c r="N12" s="7"/>
      <c r="O12" s="7"/>
      <c r="P12" s="7"/>
    </row>
    <row r="13" spans="1:16" x14ac:dyDescent="0.35">
      <c r="A13" s="10" t="s">
        <v>34</v>
      </c>
      <c r="B13" s="16"/>
      <c r="C13" s="7"/>
      <c r="D13" s="7"/>
      <c r="E13" s="7"/>
      <c r="F13" s="7"/>
      <c r="G13" s="7"/>
      <c r="H13" s="7"/>
      <c r="I13" s="7"/>
      <c r="J13" s="7"/>
      <c r="K13" s="7"/>
      <c r="L13" s="7"/>
      <c r="M13" s="7"/>
      <c r="N13" s="7"/>
      <c r="O13" s="7"/>
      <c r="P13" s="7"/>
    </row>
    <row r="14" spans="1:16" x14ac:dyDescent="0.35">
      <c r="A14" s="11" t="s">
        <v>57</v>
      </c>
      <c r="B14" s="17"/>
      <c r="C14" s="7"/>
      <c r="D14" s="7"/>
      <c r="E14" s="7"/>
      <c r="F14" s="7"/>
      <c r="G14" s="7"/>
      <c r="H14" s="7"/>
      <c r="I14" s="7"/>
      <c r="J14" s="7"/>
      <c r="K14" s="7"/>
      <c r="L14" s="7"/>
      <c r="M14" s="7"/>
      <c r="N14" s="7"/>
      <c r="O14" s="7"/>
      <c r="P14" s="7"/>
    </row>
    <row r="15" spans="1:16" x14ac:dyDescent="0.35">
      <c r="A15" s="11" t="s">
        <v>58</v>
      </c>
      <c r="B15" s="17"/>
      <c r="C15" s="7"/>
      <c r="D15" s="7"/>
      <c r="E15" s="7"/>
      <c r="F15" s="7"/>
      <c r="G15" s="7"/>
      <c r="H15" s="7"/>
      <c r="I15" s="7"/>
      <c r="J15" s="7"/>
      <c r="K15" s="7"/>
      <c r="L15" s="7"/>
      <c r="M15" s="7"/>
      <c r="N15" s="7"/>
      <c r="O15" s="7"/>
      <c r="P15" s="7"/>
    </row>
    <row r="16" spans="1:16" x14ac:dyDescent="0.35">
      <c r="A16" s="11" t="s">
        <v>59</v>
      </c>
      <c r="B16" s="17">
        <v>18</v>
      </c>
      <c r="C16" s="7" t="s">
        <v>195</v>
      </c>
      <c r="D16" s="7"/>
      <c r="E16" s="7"/>
      <c r="F16" s="7"/>
      <c r="G16" s="7"/>
      <c r="H16" s="7"/>
      <c r="I16" s="7"/>
      <c r="J16" s="7"/>
      <c r="K16" s="7"/>
      <c r="L16" s="7"/>
      <c r="M16" s="7"/>
      <c r="N16" s="7"/>
      <c r="O16" s="7"/>
      <c r="P16" s="7"/>
    </row>
    <row r="17" spans="1:16" x14ac:dyDescent="0.35">
      <c r="A17" s="11" t="s">
        <v>120</v>
      </c>
      <c r="B17" s="17"/>
      <c r="C17" s="7"/>
      <c r="D17" s="7"/>
      <c r="J17" s="7"/>
      <c r="K17" s="7"/>
      <c r="L17" s="7"/>
      <c r="M17" s="7"/>
      <c r="N17" s="7"/>
      <c r="O17" s="7"/>
      <c r="P17" s="7"/>
    </row>
    <row r="18" spans="1:16" x14ac:dyDescent="0.35">
      <c r="A18" s="11" t="s">
        <v>61</v>
      </c>
      <c r="B18" s="17">
        <f>-'2024 Check Register-p3'!E18</f>
        <v>27.3</v>
      </c>
      <c r="C18" s="7"/>
      <c r="D18" s="7"/>
      <c r="J18" s="7"/>
      <c r="K18" s="7"/>
      <c r="L18" s="7"/>
      <c r="M18" s="7"/>
      <c r="N18" s="7"/>
      <c r="O18" s="7"/>
      <c r="P18" s="7"/>
    </row>
    <row r="19" spans="1:16" x14ac:dyDescent="0.35">
      <c r="A19" s="11" t="s">
        <v>62</v>
      </c>
      <c r="B19" s="17"/>
      <c r="C19" s="7"/>
      <c r="D19" s="7"/>
      <c r="J19" s="7"/>
      <c r="K19" s="7"/>
      <c r="L19" s="7"/>
      <c r="M19" s="7"/>
      <c r="N19" s="7"/>
      <c r="O19" s="7"/>
      <c r="P19" s="7"/>
    </row>
    <row r="20" spans="1:16" x14ac:dyDescent="0.35">
      <c r="A20" s="11" t="s">
        <v>63</v>
      </c>
      <c r="B20" s="17">
        <f>170.05+25</f>
        <v>195.05</v>
      </c>
      <c r="C20" s="7" t="s">
        <v>197</v>
      </c>
      <c r="D20" s="7"/>
      <c r="E20" s="7"/>
      <c r="F20" s="7"/>
      <c r="G20" s="7"/>
      <c r="H20" s="7"/>
      <c r="I20" s="7"/>
      <c r="J20" s="7"/>
      <c r="K20" s="7"/>
      <c r="L20" s="7"/>
      <c r="M20" s="7"/>
      <c r="N20" s="7"/>
      <c r="O20" s="7"/>
      <c r="P20" s="7"/>
    </row>
    <row r="21" spans="1:16" x14ac:dyDescent="0.35">
      <c r="A21" s="11" t="s">
        <v>64</v>
      </c>
      <c r="B21" s="17"/>
      <c r="C21" s="7"/>
      <c r="D21" s="7"/>
      <c r="E21" s="7"/>
      <c r="F21" s="7"/>
      <c r="G21" s="7"/>
      <c r="H21" s="7"/>
      <c r="I21" s="7"/>
      <c r="J21" s="7"/>
      <c r="K21" s="7"/>
      <c r="L21" s="7"/>
      <c r="M21" s="7"/>
      <c r="N21" s="7"/>
      <c r="O21" s="7"/>
      <c r="P21" s="7"/>
    </row>
    <row r="22" spans="1:16" x14ac:dyDescent="0.35">
      <c r="A22" s="11" t="s">
        <v>121</v>
      </c>
      <c r="B22" s="17"/>
      <c r="C22" s="7"/>
      <c r="D22" s="7"/>
      <c r="E22" s="7"/>
      <c r="F22" s="7"/>
      <c r="G22" s="7"/>
      <c r="H22" s="7"/>
      <c r="I22" s="7"/>
      <c r="J22" s="7"/>
      <c r="K22" s="7"/>
      <c r="L22" s="7"/>
      <c r="M22" s="7"/>
      <c r="N22" s="7"/>
      <c r="O22" s="7"/>
      <c r="P22" s="7"/>
    </row>
    <row r="23" spans="1:16" x14ac:dyDescent="0.35">
      <c r="A23" s="11" t="s">
        <v>66</v>
      </c>
      <c r="B23" s="17"/>
      <c r="C23" s="7"/>
      <c r="D23" s="7"/>
      <c r="E23" s="7"/>
      <c r="F23" s="7"/>
      <c r="G23" s="7"/>
      <c r="H23" s="7"/>
      <c r="I23" s="7"/>
      <c r="J23" s="7"/>
      <c r="K23" s="7"/>
      <c r="L23" s="7"/>
      <c r="M23" s="7"/>
      <c r="N23" s="7"/>
      <c r="O23" s="7"/>
      <c r="P23" s="7"/>
    </row>
    <row r="24" spans="1:16" x14ac:dyDescent="0.35">
      <c r="A24" s="11" t="s">
        <v>67</v>
      </c>
      <c r="B24" s="17">
        <f>19.8+200+91</f>
        <v>310.8</v>
      </c>
      <c r="C24" s="7" t="s">
        <v>203</v>
      </c>
      <c r="D24" s="7"/>
      <c r="E24" s="7"/>
      <c r="F24" s="7"/>
      <c r="G24" s="7"/>
      <c r="H24" s="7"/>
      <c r="I24" s="7"/>
      <c r="J24" s="7"/>
      <c r="K24" s="7"/>
      <c r="L24" s="7"/>
      <c r="M24" s="7"/>
      <c r="N24" s="7"/>
      <c r="O24" s="7"/>
      <c r="P24" s="7"/>
    </row>
    <row r="25" spans="1:16" x14ac:dyDescent="0.35">
      <c r="A25" s="11" t="s">
        <v>68</v>
      </c>
      <c r="B25" s="17"/>
      <c r="C25" s="7"/>
      <c r="D25" s="7"/>
      <c r="E25" s="7"/>
      <c r="F25" s="7"/>
      <c r="G25" s="7"/>
      <c r="H25" s="7"/>
      <c r="I25" s="7"/>
      <c r="J25" s="7"/>
      <c r="K25" s="7"/>
      <c r="L25" s="7"/>
      <c r="M25" s="7"/>
      <c r="N25" s="7"/>
      <c r="O25" s="7"/>
      <c r="P25" s="7"/>
    </row>
    <row r="26" spans="1:16" x14ac:dyDescent="0.35">
      <c r="A26" s="11" t="s">
        <v>69</v>
      </c>
      <c r="B26" s="17"/>
      <c r="C26" s="7"/>
      <c r="D26" s="7"/>
      <c r="E26" s="7"/>
      <c r="F26" s="7"/>
      <c r="G26" s="7"/>
      <c r="H26" s="7"/>
      <c r="I26" s="7"/>
      <c r="J26" s="7"/>
      <c r="K26" s="7"/>
      <c r="L26" s="7"/>
      <c r="M26" s="7"/>
      <c r="N26" s="7"/>
      <c r="O26" s="7"/>
      <c r="P26" s="7"/>
    </row>
    <row r="27" spans="1:16" x14ac:dyDescent="0.35">
      <c r="A27" s="11" t="s">
        <v>122</v>
      </c>
      <c r="B27" s="17"/>
      <c r="C27" s="7"/>
      <c r="D27" s="7"/>
      <c r="E27" s="7"/>
      <c r="F27" s="7"/>
      <c r="G27" s="7"/>
      <c r="H27" s="7"/>
      <c r="I27" s="7"/>
      <c r="J27" s="7"/>
      <c r="K27" s="7"/>
      <c r="L27" s="7"/>
      <c r="M27" s="7"/>
      <c r="N27" s="7"/>
      <c r="O27" s="7"/>
      <c r="P27" s="7"/>
    </row>
    <row r="28" spans="1:16" x14ac:dyDescent="0.35">
      <c r="A28" s="11" t="s">
        <v>123</v>
      </c>
      <c r="B28" s="17"/>
      <c r="C28" s="7"/>
      <c r="D28" s="7"/>
      <c r="E28" s="7"/>
      <c r="F28" s="7"/>
      <c r="G28" s="7"/>
      <c r="H28" s="7"/>
      <c r="I28" s="7"/>
      <c r="J28" s="7"/>
      <c r="K28" s="7"/>
      <c r="L28" s="7"/>
      <c r="M28" s="7"/>
      <c r="N28" s="7"/>
      <c r="O28" s="7"/>
      <c r="P28" s="7"/>
    </row>
    <row r="29" spans="1:16" x14ac:dyDescent="0.35">
      <c r="A29" s="11" t="s">
        <v>72</v>
      </c>
      <c r="B29" s="17"/>
      <c r="C29" s="7"/>
      <c r="D29" s="7"/>
      <c r="E29" s="7"/>
      <c r="F29" s="7"/>
      <c r="G29" s="7"/>
      <c r="H29" s="7"/>
      <c r="I29" s="7"/>
      <c r="J29" s="7"/>
      <c r="K29" s="7"/>
      <c r="L29" s="7"/>
      <c r="M29" s="7"/>
      <c r="N29" s="7"/>
      <c r="O29" s="7"/>
      <c r="P29" s="7"/>
    </row>
    <row r="30" spans="1:16" x14ac:dyDescent="0.35">
      <c r="A30" s="11" t="s">
        <v>73</v>
      </c>
      <c r="B30" s="17"/>
      <c r="C30" s="7"/>
      <c r="D30" s="7"/>
      <c r="E30" s="7"/>
      <c r="F30" s="7"/>
      <c r="G30" s="7"/>
      <c r="H30" s="7"/>
      <c r="I30" s="7"/>
      <c r="J30" s="7"/>
      <c r="K30" s="7"/>
      <c r="L30" s="7"/>
      <c r="M30" s="7"/>
      <c r="N30" s="7"/>
      <c r="O30" s="7"/>
      <c r="P30" s="7"/>
    </row>
    <row r="31" spans="1:16" x14ac:dyDescent="0.35">
      <c r="A31" s="11" t="s">
        <v>74</v>
      </c>
      <c r="B31" s="17">
        <f>+'Mileage-p4'!D19</f>
        <v>11.4</v>
      </c>
      <c r="C31" s="7" t="s">
        <v>124</v>
      </c>
      <c r="D31" s="7"/>
      <c r="E31" s="7"/>
      <c r="F31" s="7"/>
      <c r="G31" s="7"/>
      <c r="H31" s="7"/>
      <c r="I31" s="7"/>
      <c r="J31" s="7"/>
      <c r="K31" s="7"/>
      <c r="L31" s="7"/>
      <c r="M31" s="7"/>
      <c r="N31" s="7"/>
      <c r="O31" s="7"/>
      <c r="P31" s="7"/>
    </row>
    <row r="32" spans="1:16" x14ac:dyDescent="0.35">
      <c r="A32" s="11" t="s">
        <v>125</v>
      </c>
      <c r="B32" s="17"/>
      <c r="C32" s="7"/>
      <c r="D32" s="7"/>
      <c r="E32" s="7"/>
      <c r="F32" s="7"/>
      <c r="G32" s="7"/>
      <c r="H32" s="7"/>
      <c r="I32" s="7"/>
      <c r="J32" s="7"/>
      <c r="K32" s="7"/>
      <c r="L32" s="7"/>
      <c r="M32" s="7"/>
      <c r="N32" s="7"/>
      <c r="O32" s="7"/>
      <c r="P32" s="7"/>
    </row>
    <row r="33" spans="1:16" x14ac:dyDescent="0.35">
      <c r="A33" s="11" t="s">
        <v>76</v>
      </c>
      <c r="B33" s="17">
        <f>-'2024 Check Register-p3'!E16-'2024 Check Register-p3'!E17</f>
        <v>600</v>
      </c>
      <c r="C33" s="7" t="s">
        <v>204</v>
      </c>
      <c r="D33" s="7"/>
      <c r="E33" s="7"/>
      <c r="F33" s="7"/>
      <c r="G33" s="7"/>
      <c r="H33" s="7"/>
      <c r="I33" s="7"/>
      <c r="J33" s="7"/>
      <c r="K33" s="7"/>
      <c r="L33" s="7"/>
      <c r="M33" s="7"/>
      <c r="N33" s="7"/>
      <c r="O33" s="7"/>
      <c r="P33" s="7"/>
    </row>
    <row r="34" spans="1:16" x14ac:dyDescent="0.35">
      <c r="A34" s="11" t="s">
        <v>77</v>
      </c>
      <c r="B34" s="17"/>
      <c r="C34" s="7"/>
      <c r="D34" s="7"/>
      <c r="E34" s="7"/>
      <c r="F34" s="7"/>
      <c r="G34" s="7"/>
      <c r="H34" s="7"/>
      <c r="I34" s="7"/>
      <c r="J34" s="7"/>
      <c r="K34" s="7"/>
      <c r="L34" s="7"/>
      <c r="M34" s="7"/>
      <c r="N34" s="7"/>
      <c r="O34" s="7"/>
      <c r="P34" s="7"/>
    </row>
    <row r="35" spans="1:16" x14ac:dyDescent="0.35">
      <c r="A35" s="11" t="s">
        <v>54</v>
      </c>
      <c r="B35" s="17"/>
      <c r="C35" s="7"/>
      <c r="D35" s="7"/>
      <c r="E35" s="7"/>
      <c r="F35" s="7"/>
      <c r="G35" s="7"/>
      <c r="H35" s="7"/>
      <c r="I35" s="7"/>
      <c r="J35" s="7"/>
      <c r="K35" s="7"/>
      <c r="L35" s="7"/>
      <c r="M35" s="7"/>
      <c r="N35" s="7"/>
      <c r="O35" s="7"/>
      <c r="P35" s="7"/>
    </row>
    <row r="36" spans="1:16" x14ac:dyDescent="0.35">
      <c r="A36" s="11" t="s">
        <v>78</v>
      </c>
      <c r="B36" s="17"/>
      <c r="C36" s="7"/>
      <c r="D36" s="7"/>
      <c r="E36" s="7"/>
      <c r="F36" s="7"/>
      <c r="G36" s="7"/>
      <c r="H36" s="7"/>
      <c r="I36" s="7"/>
      <c r="J36" s="7"/>
      <c r="K36" s="7"/>
      <c r="L36" s="7"/>
      <c r="M36" s="7"/>
      <c r="N36" s="7"/>
      <c r="O36" s="7"/>
      <c r="P36" s="7"/>
    </row>
    <row r="37" spans="1:16" x14ac:dyDescent="0.35">
      <c r="A37" s="11" t="s">
        <v>79</v>
      </c>
      <c r="B37" s="17"/>
      <c r="C37" s="7"/>
      <c r="D37" s="7"/>
      <c r="E37" s="7"/>
      <c r="F37" s="7"/>
      <c r="G37" s="7"/>
      <c r="H37" s="7"/>
      <c r="I37" s="7"/>
      <c r="J37" s="7"/>
      <c r="K37" s="7"/>
      <c r="L37" s="7"/>
      <c r="M37" s="7"/>
      <c r="N37" s="7"/>
      <c r="O37" s="7"/>
      <c r="P37" s="7"/>
    </row>
    <row r="38" spans="1:16" x14ac:dyDescent="0.35">
      <c r="A38" s="25" t="s">
        <v>80</v>
      </c>
      <c r="B38" s="17"/>
      <c r="C38" s="7"/>
      <c r="D38" s="7"/>
      <c r="E38" s="7"/>
      <c r="F38" s="7"/>
      <c r="G38" s="7"/>
      <c r="H38" s="7"/>
      <c r="I38" s="7"/>
      <c r="J38" s="7"/>
      <c r="K38" s="7"/>
      <c r="L38" s="7"/>
      <c r="M38" s="7"/>
      <c r="N38" s="7"/>
      <c r="O38" s="7"/>
      <c r="P38" s="7"/>
    </row>
    <row r="39" spans="1:16" x14ac:dyDescent="0.35">
      <c r="A39" s="11" t="s">
        <v>81</v>
      </c>
      <c r="B39" s="17"/>
      <c r="C39" s="2"/>
      <c r="D39" s="2"/>
      <c r="E39" s="2"/>
      <c r="F39" s="2"/>
      <c r="G39" s="2"/>
      <c r="H39" s="2"/>
      <c r="I39" s="2"/>
      <c r="J39" s="2"/>
      <c r="K39" s="2"/>
      <c r="L39" s="2"/>
      <c r="M39" s="2"/>
      <c r="N39" s="2"/>
      <c r="O39" s="2"/>
      <c r="P39" s="2"/>
    </row>
    <row r="40" spans="1:16" x14ac:dyDescent="0.35">
      <c r="A40" s="11" t="s">
        <v>82</v>
      </c>
      <c r="B40" s="17"/>
      <c r="C40" s="2"/>
      <c r="D40" s="2"/>
      <c r="E40" s="2"/>
      <c r="F40" s="2"/>
      <c r="G40" s="2"/>
      <c r="H40" s="2"/>
      <c r="I40" s="2"/>
      <c r="J40" s="2"/>
      <c r="K40" s="2"/>
      <c r="L40" s="2"/>
      <c r="M40" s="2"/>
      <c r="N40" s="2"/>
      <c r="O40" s="2"/>
      <c r="P40" s="2"/>
    </row>
    <row r="41" spans="1:16" x14ac:dyDescent="0.35">
      <c r="A41" s="25" t="s">
        <v>83</v>
      </c>
      <c r="B41" s="17"/>
      <c r="C41" s="2"/>
      <c r="D41" s="2"/>
      <c r="E41" s="2"/>
      <c r="F41" s="2"/>
      <c r="G41" s="2"/>
      <c r="H41" s="2"/>
      <c r="I41" s="2"/>
      <c r="J41" s="2"/>
      <c r="K41" s="2"/>
      <c r="L41" s="2"/>
      <c r="M41" s="2"/>
      <c r="N41" s="2"/>
      <c r="O41" s="2"/>
      <c r="P41" s="2"/>
    </row>
    <row r="42" spans="1:16" x14ac:dyDescent="0.35">
      <c r="A42" s="27" t="s">
        <v>24</v>
      </c>
      <c r="B42" s="28"/>
      <c r="C42" s="2"/>
      <c r="D42" s="2"/>
      <c r="E42" s="2"/>
      <c r="F42" s="2"/>
      <c r="G42" s="2"/>
      <c r="H42" s="2"/>
      <c r="I42" s="2"/>
      <c r="J42" s="2"/>
      <c r="K42" s="2"/>
      <c r="L42" s="2"/>
      <c r="M42" s="2"/>
      <c r="N42" s="2"/>
      <c r="O42" s="2"/>
      <c r="P42" s="2"/>
    </row>
    <row r="43" spans="1:16" x14ac:dyDescent="0.35">
      <c r="A43" s="11" t="s">
        <v>126</v>
      </c>
      <c r="B43" s="17"/>
      <c r="C43" s="2"/>
      <c r="D43" s="2"/>
      <c r="E43" s="2"/>
      <c r="F43" s="2"/>
      <c r="G43" s="2"/>
      <c r="H43" s="2"/>
      <c r="I43" s="2"/>
      <c r="J43" s="2"/>
      <c r="K43" s="2"/>
      <c r="L43" s="2"/>
      <c r="M43" s="2"/>
      <c r="N43" s="2"/>
      <c r="O43" s="2"/>
      <c r="P43" s="2"/>
    </row>
    <row r="44" spans="1:16" x14ac:dyDescent="0.35">
      <c r="A44" s="11" t="s">
        <v>86</v>
      </c>
      <c r="B44" s="17"/>
      <c r="C44" s="2"/>
      <c r="D44" s="2"/>
      <c r="E44" s="2"/>
      <c r="F44" s="2"/>
      <c r="G44" s="2"/>
      <c r="H44" s="2"/>
      <c r="I44" s="2"/>
      <c r="J44" s="2"/>
      <c r="K44" s="2"/>
      <c r="L44" s="2"/>
      <c r="M44" s="2"/>
      <c r="N44" s="2"/>
      <c r="O44" s="2"/>
      <c r="P44" s="2"/>
    </row>
    <row r="45" spans="1:16" x14ac:dyDescent="0.35">
      <c r="A45" s="11" t="s">
        <v>87</v>
      </c>
      <c r="B45" s="17"/>
      <c r="C45" s="2"/>
      <c r="D45" s="2"/>
      <c r="E45" s="2"/>
      <c r="F45" s="2"/>
      <c r="G45" s="2"/>
      <c r="H45" s="2"/>
      <c r="I45" s="2"/>
      <c r="J45" s="2"/>
      <c r="K45" s="2"/>
      <c r="L45" s="2"/>
      <c r="M45" s="2"/>
      <c r="N45" s="2"/>
      <c r="O45" s="2"/>
      <c r="P45" s="2"/>
    </row>
    <row r="46" spans="1:16" x14ac:dyDescent="0.35">
      <c r="A46" s="11" t="s">
        <v>28</v>
      </c>
      <c r="B46" s="17"/>
      <c r="C46" s="2"/>
      <c r="D46" s="2"/>
      <c r="E46" s="2"/>
      <c r="F46" s="2"/>
      <c r="G46" s="2"/>
      <c r="H46" s="2"/>
      <c r="I46" s="2"/>
      <c r="J46" s="2"/>
      <c r="K46" s="2"/>
      <c r="L46" s="2"/>
      <c r="M46" s="2"/>
      <c r="N46" s="2"/>
      <c r="O46" s="2"/>
      <c r="P46" s="2"/>
    </row>
    <row r="47" spans="1:16" x14ac:dyDescent="0.35">
      <c r="A47" s="25" t="s">
        <v>88</v>
      </c>
      <c r="B47" s="17">
        <v>2500</v>
      </c>
      <c r="C47" s="2"/>
      <c r="D47" s="2"/>
      <c r="E47" s="2"/>
      <c r="F47" s="2"/>
      <c r="G47" s="2"/>
      <c r="H47" s="2"/>
      <c r="I47" s="2"/>
      <c r="J47" s="2"/>
      <c r="K47" s="2"/>
      <c r="L47" s="2"/>
      <c r="M47" s="2"/>
      <c r="N47" s="2"/>
      <c r="O47" s="2"/>
      <c r="P47" s="2"/>
    </row>
    <row r="48" spans="1:16" ht="17" x14ac:dyDescent="0.6">
      <c r="A48" s="13" t="s">
        <v>90</v>
      </c>
      <c r="B48" s="19" t="s">
        <v>127</v>
      </c>
      <c r="C48" s="20">
        <f>SUM(B14:B47)</f>
        <v>3662.55</v>
      </c>
      <c r="D48" s="2"/>
      <c r="E48" s="2"/>
      <c r="F48" s="2"/>
      <c r="G48" s="2"/>
      <c r="H48" s="2"/>
      <c r="I48" s="2"/>
      <c r="J48" s="2"/>
      <c r="K48" s="2"/>
      <c r="L48" s="2"/>
      <c r="M48" s="2"/>
      <c r="N48" s="2"/>
      <c r="O48" s="2"/>
      <c r="P48" s="2"/>
    </row>
    <row r="49" spans="1:16" x14ac:dyDescent="0.35">
      <c r="A49" s="2"/>
      <c r="B49" s="6"/>
      <c r="C49" s="2"/>
      <c r="D49" s="2"/>
      <c r="E49" s="2"/>
      <c r="F49" s="2"/>
      <c r="G49" s="2"/>
      <c r="H49" s="2"/>
      <c r="I49" s="2"/>
      <c r="J49" s="2"/>
      <c r="K49" s="2"/>
      <c r="L49" s="2"/>
      <c r="M49" s="2"/>
      <c r="N49" s="2"/>
      <c r="O49" s="2"/>
      <c r="P49" s="2"/>
    </row>
    <row r="50" spans="1:16" ht="15" thickBot="1" x14ac:dyDescent="0.4">
      <c r="A50" s="18" t="s">
        <v>161</v>
      </c>
      <c r="B50" s="4"/>
      <c r="C50" s="21">
        <f>SUM(C4+C11-C48)</f>
        <v>34190.020000000004</v>
      </c>
      <c r="D50" s="2"/>
      <c r="E50" s="2"/>
      <c r="F50" s="2"/>
      <c r="G50" s="2"/>
      <c r="H50" s="2"/>
      <c r="I50" s="2"/>
      <c r="J50" s="2"/>
      <c r="K50" s="2"/>
      <c r="L50" s="2"/>
      <c r="M50" s="2"/>
      <c r="N50" s="2"/>
      <c r="O50" s="2"/>
      <c r="P50" s="2"/>
    </row>
    <row r="51" spans="1:16" ht="15" thickTop="1" x14ac:dyDescent="0.35">
      <c r="D51" s="2"/>
      <c r="E51" s="2"/>
      <c r="F51" s="2"/>
      <c r="G51" s="2"/>
      <c r="H51" s="2"/>
      <c r="I51" s="2"/>
      <c r="J51" s="2"/>
      <c r="K51" s="2"/>
      <c r="L51" s="2"/>
      <c r="M51" s="2"/>
      <c r="N51" s="2"/>
      <c r="O51" s="2"/>
      <c r="P51" s="2"/>
    </row>
    <row r="52" spans="1:16" x14ac:dyDescent="0.35">
      <c r="D52" s="2"/>
      <c r="E52" s="2"/>
      <c r="F52" s="2"/>
      <c r="G52" s="2"/>
      <c r="H52" s="2"/>
      <c r="I52" s="2"/>
      <c r="J52" s="2"/>
      <c r="K52" s="2"/>
      <c r="L52" s="2"/>
      <c r="M52" s="2"/>
      <c r="N52" s="2"/>
      <c r="O52" s="2"/>
      <c r="P52" s="2"/>
    </row>
  </sheetData>
  <pageMargins left="0.7" right="0.7" top="0.75" bottom="0.75" header="0.3" footer="0.3"/>
  <pageSetup scale="76"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3BE6C-7F02-467F-B5D2-55FB5976C953}">
  <sheetPr>
    <tabColor rgb="FF00B0F0"/>
    <pageSetUpPr fitToPage="1"/>
  </sheetPr>
  <dimension ref="A1:P51"/>
  <sheetViews>
    <sheetView topLeftCell="A30" zoomScaleNormal="100" workbookViewId="0">
      <selection activeCell="B39" sqref="B39"/>
    </sheetView>
  </sheetViews>
  <sheetFormatPr defaultRowHeight="14.5" x14ac:dyDescent="0.35"/>
  <cols>
    <col min="1" max="1" width="42.54296875" customWidth="1"/>
    <col min="2" max="2" width="15.54296875" customWidth="1"/>
    <col min="3" max="3" width="20.1796875" customWidth="1"/>
    <col min="4" max="4" width="34.453125" customWidth="1"/>
  </cols>
  <sheetData>
    <row r="1" spans="1:16" ht="23.5" x14ac:dyDescent="0.55000000000000004">
      <c r="D1" s="173"/>
    </row>
    <row r="2" spans="1:16" x14ac:dyDescent="0.35">
      <c r="A2" s="4" t="s">
        <v>156</v>
      </c>
      <c r="B2" s="2"/>
      <c r="C2" s="2"/>
      <c r="D2" s="5"/>
      <c r="E2" s="2"/>
      <c r="F2" s="2"/>
      <c r="G2" s="2"/>
      <c r="H2" s="2"/>
      <c r="I2" s="2"/>
      <c r="J2" s="2"/>
      <c r="K2" s="2"/>
      <c r="L2" s="2"/>
      <c r="M2" s="2"/>
      <c r="N2" s="2"/>
      <c r="O2" s="2"/>
      <c r="P2" s="2"/>
    </row>
    <row r="3" spans="1:16" x14ac:dyDescent="0.35">
      <c r="A3" s="1"/>
      <c r="B3" s="6"/>
      <c r="C3" s="7"/>
      <c r="D3" s="7"/>
      <c r="E3" s="7"/>
      <c r="F3" s="7"/>
      <c r="G3" s="7"/>
      <c r="H3" s="7"/>
      <c r="I3" s="7"/>
      <c r="J3" s="7"/>
      <c r="K3" s="7"/>
      <c r="L3" s="7"/>
      <c r="M3" s="7"/>
      <c r="N3" s="7"/>
      <c r="O3" s="7"/>
      <c r="P3" s="7"/>
    </row>
    <row r="4" spans="1:16" ht="15" thickBot="1" x14ac:dyDescent="0.4">
      <c r="A4" s="8" t="s">
        <v>157</v>
      </c>
      <c r="B4" s="6"/>
      <c r="C4" s="9">
        <f>+'2024 Check Register-p3'!F7</f>
        <v>34517.660000000003</v>
      </c>
      <c r="D4" s="7"/>
      <c r="E4" s="7"/>
      <c r="F4" s="7"/>
      <c r="G4" s="7"/>
      <c r="H4" s="7"/>
      <c r="I4" s="7"/>
      <c r="J4" s="7"/>
      <c r="K4" s="7"/>
      <c r="L4" s="7"/>
      <c r="M4" s="7"/>
      <c r="N4" s="7"/>
      <c r="O4" s="7"/>
      <c r="P4" s="7"/>
    </row>
    <row r="5" spans="1:16" x14ac:dyDescent="0.35">
      <c r="A5" s="10" t="s">
        <v>33</v>
      </c>
      <c r="B5" s="6"/>
      <c r="C5" s="7"/>
      <c r="D5" s="7"/>
      <c r="E5" s="7"/>
      <c r="F5" s="7"/>
      <c r="G5" s="7"/>
      <c r="H5" s="7"/>
      <c r="I5" s="7"/>
      <c r="J5" s="7"/>
      <c r="K5" s="7"/>
      <c r="L5" s="7"/>
      <c r="M5" s="7"/>
      <c r="N5" s="7"/>
      <c r="O5" s="7"/>
      <c r="P5" s="7"/>
    </row>
    <row r="6" spans="1:16" x14ac:dyDescent="0.35">
      <c r="A6" s="11" t="s">
        <v>17</v>
      </c>
      <c r="B6" s="12">
        <v>2443.2800000000002</v>
      </c>
      <c r="C6" s="7"/>
      <c r="D6" s="7"/>
      <c r="E6" s="7"/>
      <c r="F6" s="7"/>
      <c r="G6" s="7"/>
      <c r="H6" s="7"/>
      <c r="I6" s="7"/>
      <c r="J6" s="7"/>
      <c r="K6" s="7"/>
      <c r="L6" s="7"/>
      <c r="M6" s="7"/>
      <c r="N6" s="7"/>
      <c r="O6" s="7"/>
      <c r="P6" s="7"/>
    </row>
    <row r="7" spans="1:16" x14ac:dyDescent="0.35">
      <c r="A7" s="11" t="s">
        <v>114</v>
      </c>
      <c r="B7" s="12"/>
      <c r="C7" s="7"/>
      <c r="D7" s="7"/>
      <c r="E7" s="7"/>
      <c r="F7" s="7"/>
      <c r="G7" s="7"/>
      <c r="H7" s="7"/>
      <c r="I7" s="7"/>
      <c r="J7" s="7"/>
      <c r="K7" s="7"/>
      <c r="L7" s="7"/>
      <c r="M7" s="7"/>
      <c r="N7" s="7"/>
      <c r="O7" s="7"/>
      <c r="P7" s="7"/>
    </row>
    <row r="8" spans="1:16" x14ac:dyDescent="0.35">
      <c r="A8" s="11" t="s">
        <v>128</v>
      </c>
      <c r="B8" s="12"/>
      <c r="C8" s="7"/>
      <c r="D8" s="7"/>
      <c r="E8" s="7"/>
      <c r="F8" s="7"/>
      <c r="G8" s="7"/>
      <c r="H8" s="7"/>
      <c r="I8" s="7"/>
      <c r="J8" s="7"/>
      <c r="K8" s="7"/>
      <c r="L8" s="7"/>
      <c r="M8" s="7"/>
      <c r="N8" s="7"/>
      <c r="O8" s="7"/>
      <c r="P8" s="7"/>
    </row>
    <row r="9" spans="1:16" x14ac:dyDescent="0.35">
      <c r="A9" s="11" t="s">
        <v>116</v>
      </c>
      <c r="B9" s="12"/>
      <c r="C9" s="7"/>
      <c r="D9" s="7"/>
      <c r="E9" s="7"/>
      <c r="F9" s="7"/>
      <c r="G9" s="7"/>
      <c r="H9" s="7"/>
      <c r="I9" s="7"/>
      <c r="J9" s="7"/>
      <c r="K9" s="7"/>
      <c r="L9" s="7"/>
      <c r="M9" s="7"/>
      <c r="N9" s="7"/>
      <c r="O9" s="7"/>
      <c r="P9" s="7"/>
    </row>
    <row r="10" spans="1:16" x14ac:dyDescent="0.35">
      <c r="A10" s="11" t="s">
        <v>117</v>
      </c>
      <c r="B10" s="12"/>
      <c r="C10" s="7"/>
      <c r="D10" s="7"/>
      <c r="E10" s="7"/>
      <c r="F10" s="7"/>
      <c r="G10" s="7"/>
      <c r="H10" s="7"/>
      <c r="I10" s="7"/>
      <c r="J10" s="7"/>
      <c r="K10" s="7"/>
      <c r="L10" s="7"/>
      <c r="M10" s="7"/>
      <c r="N10" s="7"/>
      <c r="O10" s="7"/>
      <c r="P10" s="7"/>
    </row>
    <row r="11" spans="1:16" ht="17" x14ac:dyDescent="0.6">
      <c r="A11" s="13" t="s">
        <v>118</v>
      </c>
      <c r="B11" s="14" t="s">
        <v>119</v>
      </c>
      <c r="C11" s="15">
        <f>SUM(B6:B10)</f>
        <v>2443.2800000000002</v>
      </c>
      <c r="D11" s="7"/>
      <c r="E11" s="7"/>
      <c r="F11" s="7"/>
      <c r="G11" s="7"/>
      <c r="H11" s="7"/>
      <c r="I11" s="7"/>
      <c r="J11" s="7"/>
      <c r="K11" s="7"/>
      <c r="L11" s="7"/>
      <c r="M11" s="7"/>
      <c r="N11" s="7"/>
      <c r="O11" s="7"/>
      <c r="P11" s="7"/>
    </row>
    <row r="12" spans="1:16" x14ac:dyDescent="0.35">
      <c r="A12" s="1"/>
      <c r="B12" s="16"/>
      <c r="C12" s="7"/>
      <c r="D12" s="7"/>
      <c r="E12" s="7"/>
      <c r="F12" s="7"/>
      <c r="G12" s="7"/>
      <c r="H12" s="7"/>
      <c r="I12" s="7"/>
      <c r="J12" s="7"/>
      <c r="K12" s="7"/>
      <c r="L12" s="7"/>
      <c r="M12" s="7"/>
      <c r="N12" s="7"/>
      <c r="O12" s="7"/>
      <c r="P12" s="7"/>
    </row>
    <row r="13" spans="1:16" x14ac:dyDescent="0.35">
      <c r="A13" s="10" t="s">
        <v>34</v>
      </c>
      <c r="B13" s="16"/>
      <c r="C13" s="7"/>
      <c r="D13" s="7"/>
      <c r="E13" s="7"/>
      <c r="F13" s="7"/>
      <c r="G13" s="7"/>
      <c r="H13" s="7"/>
      <c r="I13" s="7"/>
      <c r="J13" s="7"/>
      <c r="K13" s="7"/>
      <c r="L13" s="7"/>
      <c r="M13" s="7"/>
      <c r="N13" s="7"/>
      <c r="O13" s="7"/>
      <c r="P13" s="7"/>
    </row>
    <row r="14" spans="1:16" x14ac:dyDescent="0.35">
      <c r="A14" s="11" t="s">
        <v>57</v>
      </c>
      <c r="B14" s="17"/>
      <c r="C14" s="7"/>
      <c r="D14" s="7"/>
      <c r="E14" s="7"/>
      <c r="F14" s="7"/>
      <c r="G14" s="7"/>
      <c r="H14" s="7"/>
      <c r="I14" s="7"/>
      <c r="J14" s="7"/>
      <c r="K14" s="7"/>
      <c r="L14" s="7"/>
      <c r="M14" s="7"/>
      <c r="N14" s="7"/>
      <c r="O14" s="7"/>
      <c r="P14" s="7"/>
    </row>
    <row r="15" spans="1:16" x14ac:dyDescent="0.35">
      <c r="A15" s="11" t="s">
        <v>58</v>
      </c>
      <c r="B15" s="17"/>
      <c r="C15" s="7"/>
      <c r="D15" s="7"/>
      <c r="E15" s="7"/>
      <c r="F15" s="7"/>
      <c r="G15" s="7"/>
      <c r="H15" s="7"/>
      <c r="I15" s="7"/>
      <c r="J15" s="7"/>
      <c r="K15" s="7"/>
      <c r="L15" s="7"/>
      <c r="M15" s="7"/>
      <c r="N15" s="7"/>
      <c r="O15" s="7"/>
      <c r="P15" s="7"/>
    </row>
    <row r="16" spans="1:16" x14ac:dyDescent="0.35">
      <c r="A16" s="11" t="s">
        <v>59</v>
      </c>
      <c r="B16" s="17"/>
      <c r="C16" s="7"/>
      <c r="D16" s="7"/>
      <c r="E16" s="7"/>
      <c r="F16" s="7"/>
      <c r="G16" s="7"/>
      <c r="H16" s="7"/>
      <c r="I16" s="7"/>
      <c r="J16" s="7"/>
      <c r="K16" s="7"/>
      <c r="L16" s="7"/>
      <c r="M16" s="7"/>
      <c r="N16" s="7"/>
      <c r="O16" s="7"/>
      <c r="P16" s="7"/>
    </row>
    <row r="17" spans="1:16" x14ac:dyDescent="0.35">
      <c r="A17" s="11" t="s">
        <v>120</v>
      </c>
      <c r="B17" s="17"/>
      <c r="C17" s="7"/>
      <c r="D17" s="7"/>
      <c r="E17" s="7"/>
      <c r="F17" s="7"/>
      <c r="G17" s="7"/>
      <c r="H17" s="7"/>
      <c r="I17" s="7"/>
      <c r="J17" s="7"/>
      <c r="K17" s="7"/>
      <c r="L17" s="7"/>
      <c r="M17" s="7"/>
      <c r="N17" s="7"/>
      <c r="O17" s="7"/>
      <c r="P17" s="7"/>
    </row>
    <row r="18" spans="1:16" x14ac:dyDescent="0.35">
      <c r="A18" s="11" t="s">
        <v>61</v>
      </c>
      <c r="B18" s="17">
        <f>-'2024 Check Register-p3'!E9</f>
        <v>29.13</v>
      </c>
      <c r="C18" s="7"/>
      <c r="D18" s="7"/>
      <c r="E18" s="7"/>
      <c r="F18" s="7"/>
      <c r="G18" s="7"/>
      <c r="H18" s="7"/>
      <c r="I18" s="7"/>
      <c r="J18" s="7"/>
      <c r="K18" s="7"/>
      <c r="L18" s="7"/>
      <c r="M18" s="7"/>
      <c r="N18" s="7"/>
      <c r="O18" s="7"/>
      <c r="P18" s="7"/>
    </row>
    <row r="19" spans="1:16" x14ac:dyDescent="0.35">
      <c r="A19" s="11" t="s">
        <v>62</v>
      </c>
      <c r="B19" s="17"/>
      <c r="C19" s="7"/>
      <c r="D19" s="7"/>
      <c r="E19" s="7"/>
      <c r="F19" s="7"/>
      <c r="G19" s="7"/>
      <c r="H19" s="7"/>
      <c r="I19" s="7"/>
      <c r="J19" s="7"/>
      <c r="K19" s="7"/>
      <c r="L19" s="7"/>
      <c r="M19" s="7"/>
      <c r="N19" s="7"/>
      <c r="O19" s="7"/>
      <c r="P19" s="7"/>
    </row>
    <row r="20" spans="1:16" x14ac:dyDescent="0.35">
      <c r="A20" s="11" t="s">
        <v>63</v>
      </c>
      <c r="B20" s="17"/>
      <c r="C20" s="7"/>
      <c r="D20" s="7"/>
      <c r="E20" s="7"/>
      <c r="F20" s="7"/>
      <c r="G20" s="7"/>
      <c r="H20" s="7"/>
      <c r="I20" s="7"/>
      <c r="J20" s="7"/>
      <c r="K20" s="7"/>
      <c r="L20" s="7"/>
      <c r="M20" s="7"/>
      <c r="N20" s="7"/>
      <c r="O20" s="7"/>
      <c r="P20" s="7"/>
    </row>
    <row r="21" spans="1:16" x14ac:dyDescent="0.35">
      <c r="A21" s="11" t="s">
        <v>64</v>
      </c>
      <c r="B21" s="17"/>
      <c r="C21" s="7"/>
      <c r="D21" s="7"/>
      <c r="E21" s="7"/>
      <c r="F21" s="7"/>
      <c r="G21" s="7"/>
      <c r="H21" s="7"/>
      <c r="I21" s="7"/>
      <c r="J21" s="7"/>
      <c r="K21" s="7"/>
      <c r="L21" s="7"/>
      <c r="M21" s="7"/>
      <c r="N21" s="7"/>
      <c r="O21" s="7"/>
      <c r="P21" s="7"/>
    </row>
    <row r="22" spans="1:16" x14ac:dyDescent="0.35">
      <c r="A22" s="11" t="s">
        <v>121</v>
      </c>
      <c r="B22" s="17"/>
      <c r="C22" s="7"/>
      <c r="D22" s="7"/>
      <c r="E22" s="7"/>
      <c r="F22" s="7"/>
      <c r="G22" s="7"/>
      <c r="H22" s="7"/>
      <c r="I22" s="7"/>
      <c r="J22" s="7"/>
      <c r="K22" s="7"/>
      <c r="L22" s="7"/>
      <c r="M22" s="7"/>
      <c r="N22" s="7"/>
      <c r="O22" s="7"/>
      <c r="P22" s="7"/>
    </row>
    <row r="23" spans="1:16" x14ac:dyDescent="0.35">
      <c r="A23" s="11" t="s">
        <v>66</v>
      </c>
      <c r="B23" s="17"/>
      <c r="C23" s="7"/>
      <c r="D23" s="7"/>
      <c r="E23" s="7"/>
      <c r="F23" s="7"/>
      <c r="G23" s="7"/>
      <c r="H23" s="7"/>
      <c r="I23" s="7"/>
      <c r="J23" s="7"/>
      <c r="K23" s="7"/>
      <c r="L23" s="7"/>
      <c r="M23" s="7"/>
      <c r="N23" s="7"/>
      <c r="O23" s="7"/>
      <c r="P23" s="7"/>
    </row>
    <row r="24" spans="1:16" x14ac:dyDescent="0.35">
      <c r="A24" s="11" t="s">
        <v>67</v>
      </c>
      <c r="B24" s="17">
        <v>469.72</v>
      </c>
      <c r="C24" s="7" t="s">
        <v>205</v>
      </c>
      <c r="D24" s="7"/>
      <c r="E24" s="7"/>
      <c r="F24" s="7"/>
      <c r="G24" s="7"/>
      <c r="H24" s="7"/>
      <c r="I24" s="7"/>
      <c r="J24" s="7"/>
      <c r="K24" s="7"/>
      <c r="L24" s="7"/>
      <c r="M24" s="7"/>
      <c r="N24" s="7"/>
      <c r="O24" s="7"/>
      <c r="P24" s="7"/>
    </row>
    <row r="25" spans="1:16" x14ac:dyDescent="0.35">
      <c r="A25" s="11" t="s">
        <v>68</v>
      </c>
      <c r="B25" s="17"/>
      <c r="C25" s="7"/>
      <c r="D25" s="7"/>
      <c r="E25" s="7"/>
      <c r="F25" s="7"/>
      <c r="G25" s="7"/>
      <c r="H25" s="7"/>
      <c r="I25" s="7"/>
      <c r="J25" s="7"/>
      <c r="K25" s="7"/>
      <c r="L25" s="7"/>
      <c r="M25" s="7"/>
      <c r="N25" s="7"/>
      <c r="O25" s="7"/>
      <c r="P25" s="7"/>
    </row>
    <row r="26" spans="1:16" x14ac:dyDescent="0.35">
      <c r="A26" s="11" t="s">
        <v>69</v>
      </c>
      <c r="B26" s="17"/>
      <c r="C26" s="7"/>
      <c r="D26" s="7"/>
      <c r="E26" s="7"/>
      <c r="F26" s="7"/>
      <c r="G26" s="7"/>
      <c r="H26" s="7"/>
      <c r="I26" s="7"/>
      <c r="J26" s="7"/>
      <c r="K26" s="7"/>
      <c r="L26" s="7"/>
      <c r="M26" s="7"/>
      <c r="N26" s="7"/>
      <c r="O26" s="7"/>
      <c r="P26" s="7"/>
    </row>
    <row r="27" spans="1:16" x14ac:dyDescent="0.35">
      <c r="A27" s="11" t="s">
        <v>122</v>
      </c>
      <c r="B27" s="17"/>
      <c r="C27" s="7"/>
      <c r="D27" s="7"/>
      <c r="E27" s="7"/>
      <c r="F27" s="7"/>
      <c r="G27" s="7"/>
      <c r="H27" s="7"/>
      <c r="I27" s="7"/>
      <c r="J27" s="7"/>
      <c r="K27" s="7"/>
      <c r="L27" s="7"/>
      <c r="M27" s="7"/>
      <c r="N27" s="7"/>
      <c r="O27" s="7"/>
      <c r="P27" s="7"/>
    </row>
    <row r="28" spans="1:16" x14ac:dyDescent="0.35">
      <c r="A28" s="11" t="s">
        <v>123</v>
      </c>
      <c r="B28" s="17"/>
      <c r="C28" s="7"/>
      <c r="D28" s="7"/>
      <c r="E28" s="7"/>
      <c r="F28" s="7"/>
      <c r="G28" s="7"/>
      <c r="H28" s="7"/>
      <c r="I28" s="7"/>
      <c r="J28" s="7"/>
      <c r="K28" s="7"/>
      <c r="L28" s="7"/>
      <c r="M28" s="7"/>
      <c r="N28" s="7"/>
      <c r="O28" s="7"/>
      <c r="P28" s="7"/>
    </row>
    <row r="29" spans="1:16" x14ac:dyDescent="0.35">
      <c r="A29" s="11" t="s">
        <v>72</v>
      </c>
      <c r="B29" s="17"/>
      <c r="C29" s="7"/>
      <c r="D29" s="7"/>
      <c r="E29" s="7"/>
      <c r="F29" s="7"/>
      <c r="G29" s="7"/>
      <c r="H29" s="7"/>
      <c r="I29" s="7"/>
      <c r="J29" s="7"/>
      <c r="K29" s="7"/>
      <c r="L29" s="7"/>
      <c r="M29" s="7"/>
      <c r="N29" s="7"/>
      <c r="O29" s="7"/>
      <c r="P29" s="7"/>
    </row>
    <row r="30" spans="1:16" x14ac:dyDescent="0.35">
      <c r="A30" s="11" t="s">
        <v>73</v>
      </c>
      <c r="B30" s="17"/>
      <c r="C30" s="7"/>
      <c r="D30" s="7"/>
      <c r="E30" s="7"/>
      <c r="F30" s="7"/>
      <c r="G30" s="7"/>
      <c r="H30" s="7"/>
      <c r="I30" s="7"/>
      <c r="J30" s="7"/>
      <c r="K30" s="7"/>
      <c r="L30" s="7"/>
      <c r="M30" s="7"/>
      <c r="N30" s="7"/>
      <c r="O30" s="7"/>
      <c r="P30" s="7"/>
    </row>
    <row r="31" spans="1:16" x14ac:dyDescent="0.35">
      <c r="A31" s="11" t="s">
        <v>74</v>
      </c>
      <c r="B31" s="17">
        <f>+'Mileage-p4'!C19</f>
        <v>0</v>
      </c>
      <c r="C31" s="7" t="s">
        <v>124</v>
      </c>
      <c r="D31" s="7"/>
      <c r="E31" s="7"/>
      <c r="F31" s="7"/>
      <c r="G31" s="7"/>
      <c r="H31" s="7"/>
      <c r="I31" s="7"/>
      <c r="J31" s="7"/>
      <c r="K31" s="7"/>
      <c r="L31" s="7"/>
      <c r="M31" s="7"/>
      <c r="N31" s="7"/>
      <c r="O31" s="7"/>
      <c r="P31" s="7"/>
    </row>
    <row r="32" spans="1:16" x14ac:dyDescent="0.35">
      <c r="A32" s="11" t="s">
        <v>125</v>
      </c>
      <c r="B32" s="17"/>
      <c r="C32" s="7"/>
      <c r="D32" s="7"/>
      <c r="E32" s="7"/>
      <c r="F32" s="7"/>
      <c r="G32" s="7"/>
      <c r="H32" s="7"/>
      <c r="I32" s="7"/>
      <c r="J32" s="7"/>
      <c r="K32" s="7"/>
      <c r="L32" s="7"/>
      <c r="M32" s="7"/>
      <c r="N32" s="7"/>
      <c r="O32" s="7"/>
      <c r="P32" s="7"/>
    </row>
    <row r="33" spans="1:16" x14ac:dyDescent="0.35">
      <c r="A33" s="11" t="s">
        <v>76</v>
      </c>
      <c r="B33" s="17">
        <f>-'2024 Check Register-p3'!E10</f>
        <v>300</v>
      </c>
      <c r="C33" s="7" t="s">
        <v>206</v>
      </c>
      <c r="D33" s="7"/>
      <c r="E33" s="7"/>
      <c r="F33" s="7"/>
      <c r="G33" s="7"/>
      <c r="H33" s="7"/>
      <c r="I33" s="7"/>
      <c r="J33" s="7"/>
      <c r="K33" s="7"/>
      <c r="L33" s="7"/>
      <c r="M33" s="7"/>
      <c r="N33" s="7"/>
      <c r="O33" s="7"/>
      <c r="P33" s="7"/>
    </row>
    <row r="34" spans="1:16" x14ac:dyDescent="0.35">
      <c r="A34" s="11" t="s">
        <v>77</v>
      </c>
      <c r="B34" s="17"/>
      <c r="C34" s="7"/>
      <c r="D34" s="7"/>
      <c r="E34" s="7"/>
      <c r="F34" s="7"/>
      <c r="G34" s="7"/>
      <c r="H34" s="7"/>
      <c r="I34" s="7"/>
      <c r="J34" s="7"/>
      <c r="K34" s="7"/>
      <c r="L34" s="7"/>
      <c r="M34" s="7"/>
      <c r="N34" s="7"/>
      <c r="O34" s="7"/>
      <c r="P34" s="7"/>
    </row>
    <row r="35" spans="1:16" x14ac:dyDescent="0.35">
      <c r="A35" s="11" t="s">
        <v>54</v>
      </c>
      <c r="B35" s="17"/>
      <c r="C35" s="7"/>
      <c r="D35" s="7"/>
      <c r="E35" s="7"/>
      <c r="F35" s="7"/>
      <c r="G35" s="7"/>
      <c r="H35" s="7"/>
      <c r="I35" s="7"/>
      <c r="J35" s="7"/>
      <c r="K35" s="7"/>
      <c r="L35" s="7"/>
      <c r="M35" s="7"/>
      <c r="N35" s="7"/>
      <c r="O35" s="7"/>
      <c r="P35" s="7"/>
    </row>
    <row r="36" spans="1:16" x14ac:dyDescent="0.35">
      <c r="A36" s="11" t="s">
        <v>78</v>
      </c>
      <c r="B36" s="17"/>
      <c r="C36" s="7"/>
      <c r="D36" s="7"/>
      <c r="E36" s="7"/>
      <c r="F36" s="7"/>
      <c r="G36" s="7"/>
      <c r="H36" s="7"/>
      <c r="I36" s="7"/>
      <c r="J36" s="7"/>
      <c r="K36" s="7"/>
      <c r="L36" s="7"/>
      <c r="M36" s="7"/>
      <c r="N36" s="7"/>
      <c r="O36" s="7"/>
      <c r="P36" s="7"/>
    </row>
    <row r="37" spans="1:16" x14ac:dyDescent="0.35">
      <c r="A37" s="11" t="s">
        <v>79</v>
      </c>
      <c r="B37" s="17"/>
      <c r="C37" s="7"/>
      <c r="D37" s="7"/>
      <c r="E37" s="7"/>
      <c r="F37" s="7"/>
      <c r="G37" s="7"/>
      <c r="H37" s="7"/>
      <c r="I37" s="7"/>
      <c r="J37" s="7"/>
      <c r="K37" s="7"/>
      <c r="L37" s="7"/>
      <c r="M37" s="7"/>
      <c r="N37" s="7"/>
      <c r="O37" s="7"/>
      <c r="P37" s="7"/>
    </row>
    <row r="38" spans="1:16" x14ac:dyDescent="0.35">
      <c r="A38" s="25" t="s">
        <v>80</v>
      </c>
      <c r="B38" s="17"/>
      <c r="C38" s="7"/>
      <c r="D38" s="7"/>
      <c r="E38" s="7"/>
      <c r="F38" s="7"/>
      <c r="G38" s="7"/>
      <c r="H38" s="7"/>
      <c r="I38" s="7"/>
      <c r="J38" s="7"/>
      <c r="K38" s="7"/>
      <c r="L38" s="7"/>
      <c r="M38" s="7"/>
      <c r="N38" s="7"/>
      <c r="O38" s="7"/>
      <c r="P38" s="7"/>
    </row>
    <row r="39" spans="1:16" x14ac:dyDescent="0.35">
      <c r="A39" s="11" t="s">
        <v>81</v>
      </c>
      <c r="B39" s="17">
        <f>-'2024 Check Register-p3'!E14-'2024 Check Register-p3'!E15</f>
        <v>249.6</v>
      </c>
      <c r="C39" s="2" t="s">
        <v>207</v>
      </c>
      <c r="D39" s="2"/>
      <c r="E39" s="2"/>
      <c r="F39" s="2"/>
      <c r="G39" s="2"/>
      <c r="H39" s="2"/>
      <c r="I39" s="2"/>
      <c r="J39" s="2"/>
      <c r="K39" s="2"/>
      <c r="L39" s="2"/>
      <c r="M39" s="2"/>
      <c r="N39" s="2"/>
      <c r="O39" s="2"/>
      <c r="P39" s="2"/>
    </row>
    <row r="40" spans="1:16" x14ac:dyDescent="0.35">
      <c r="A40" s="11" t="s">
        <v>82</v>
      </c>
      <c r="B40" s="17"/>
      <c r="C40" s="2"/>
      <c r="D40" s="2"/>
      <c r="E40" s="2"/>
      <c r="F40" s="2"/>
      <c r="G40" s="2"/>
      <c r="H40" s="2"/>
      <c r="I40" s="2"/>
      <c r="J40" s="2"/>
      <c r="K40" s="2"/>
      <c r="L40" s="2"/>
      <c r="M40" s="2"/>
      <c r="N40" s="2"/>
      <c r="O40" s="2"/>
      <c r="P40" s="2"/>
    </row>
    <row r="41" spans="1:16" x14ac:dyDescent="0.35">
      <c r="A41" s="25" t="s">
        <v>83</v>
      </c>
      <c r="B41" s="17"/>
      <c r="C41" s="2"/>
      <c r="D41" s="2"/>
      <c r="E41" s="2"/>
      <c r="F41" s="2"/>
      <c r="G41" s="2"/>
      <c r="H41" s="2"/>
      <c r="I41" s="2"/>
      <c r="J41" s="2"/>
      <c r="K41" s="2"/>
      <c r="L41" s="2"/>
      <c r="M41" s="2"/>
      <c r="N41" s="2"/>
      <c r="O41" s="2"/>
      <c r="P41" s="2"/>
    </row>
    <row r="42" spans="1:16" x14ac:dyDescent="0.35">
      <c r="A42" s="27" t="s">
        <v>24</v>
      </c>
      <c r="B42" s="28"/>
      <c r="C42" s="2"/>
      <c r="D42" s="2"/>
      <c r="E42" s="2"/>
      <c r="F42" s="2"/>
      <c r="G42" s="2"/>
      <c r="H42" s="2"/>
      <c r="I42" s="2"/>
      <c r="J42" s="2"/>
      <c r="K42" s="2"/>
      <c r="L42" s="2"/>
      <c r="M42" s="2"/>
      <c r="N42" s="2"/>
      <c r="O42" s="2"/>
      <c r="P42" s="2"/>
    </row>
    <row r="43" spans="1:16" x14ac:dyDescent="0.35">
      <c r="A43" s="11" t="s">
        <v>126</v>
      </c>
      <c r="B43" s="17"/>
      <c r="C43" s="2"/>
      <c r="D43" s="2"/>
      <c r="E43" s="2"/>
      <c r="F43" s="2"/>
      <c r="G43" s="2"/>
      <c r="H43" s="2"/>
      <c r="I43" s="2"/>
      <c r="J43" s="2"/>
      <c r="K43" s="2"/>
      <c r="L43" s="2"/>
      <c r="M43" s="2"/>
      <c r="N43" s="2"/>
      <c r="O43" s="2"/>
      <c r="P43" s="2"/>
    </row>
    <row r="44" spans="1:16" x14ac:dyDescent="0.35">
      <c r="A44" s="11" t="s">
        <v>86</v>
      </c>
      <c r="B44" s="17"/>
      <c r="C44" s="2"/>
      <c r="D44" s="2"/>
      <c r="E44" s="2"/>
      <c r="F44" s="2"/>
      <c r="G44" s="2"/>
      <c r="H44" s="2"/>
      <c r="I44" s="2"/>
      <c r="J44" s="2"/>
      <c r="K44" s="2"/>
      <c r="L44" s="2"/>
      <c r="M44" s="2"/>
      <c r="N44" s="2"/>
      <c r="O44" s="2"/>
      <c r="P44" s="2"/>
    </row>
    <row r="45" spans="1:16" x14ac:dyDescent="0.35">
      <c r="A45" s="11" t="s">
        <v>87</v>
      </c>
      <c r="B45" s="17"/>
      <c r="C45" s="2"/>
      <c r="D45" s="2"/>
      <c r="E45" s="2"/>
      <c r="F45" s="2"/>
      <c r="G45" s="2"/>
      <c r="H45" s="2"/>
      <c r="I45" s="2"/>
      <c r="J45" s="2"/>
      <c r="K45" s="2"/>
      <c r="L45" s="2"/>
      <c r="M45" s="2"/>
      <c r="N45" s="2"/>
      <c r="O45" s="2"/>
      <c r="P45" s="2"/>
    </row>
    <row r="46" spans="1:16" x14ac:dyDescent="0.35">
      <c r="A46" s="11" t="s">
        <v>28</v>
      </c>
      <c r="B46" s="17"/>
      <c r="C46" s="2"/>
      <c r="D46" s="2"/>
      <c r="E46" s="2"/>
      <c r="F46" s="2"/>
      <c r="G46" s="2"/>
      <c r="H46" s="2"/>
      <c r="I46" s="2"/>
      <c r="J46" s="2"/>
      <c r="K46" s="2"/>
      <c r="L46" s="2"/>
      <c r="M46" s="2"/>
      <c r="N46" s="2"/>
      <c r="O46" s="2"/>
      <c r="P46" s="2"/>
    </row>
    <row r="47" spans="1:16" x14ac:dyDescent="0.35">
      <c r="A47" s="25" t="s">
        <v>88</v>
      </c>
      <c r="B47" s="17"/>
      <c r="C47" s="2"/>
      <c r="D47" s="2"/>
      <c r="E47" s="2"/>
      <c r="F47" s="2"/>
      <c r="G47" s="2"/>
      <c r="H47" s="2"/>
      <c r="I47" s="2"/>
      <c r="J47" s="2"/>
      <c r="K47" s="2"/>
      <c r="L47" s="2"/>
      <c r="M47" s="2"/>
      <c r="N47" s="2"/>
      <c r="O47" s="2"/>
      <c r="P47" s="2"/>
    </row>
    <row r="48" spans="1:16" ht="17" x14ac:dyDescent="0.6">
      <c r="A48" s="13" t="s">
        <v>90</v>
      </c>
      <c r="B48" s="19" t="s">
        <v>127</v>
      </c>
      <c r="C48" s="20">
        <f>SUM(B14:B47)</f>
        <v>1048.45</v>
      </c>
      <c r="D48" s="2"/>
      <c r="E48" s="2"/>
      <c r="F48" s="2"/>
      <c r="G48" s="2"/>
      <c r="H48" s="2"/>
      <c r="I48" s="2"/>
      <c r="J48" s="2"/>
      <c r="K48" s="2"/>
      <c r="L48" s="2"/>
      <c r="M48" s="2"/>
      <c r="N48" s="2"/>
      <c r="O48" s="2"/>
      <c r="P48" s="2"/>
    </row>
    <row r="49" spans="1:16" x14ac:dyDescent="0.35">
      <c r="A49" s="2"/>
      <c r="B49" s="6"/>
      <c r="C49" s="2"/>
      <c r="D49" s="2"/>
      <c r="E49" s="2"/>
      <c r="F49" s="2"/>
      <c r="G49" s="2"/>
      <c r="H49" s="2"/>
      <c r="I49" s="2"/>
      <c r="J49" s="2"/>
      <c r="K49" s="2"/>
      <c r="L49" s="2"/>
      <c r="M49" s="2"/>
      <c r="N49" s="2"/>
      <c r="O49" s="2"/>
      <c r="P49" s="2"/>
    </row>
    <row r="50" spans="1:16" ht="15" thickBot="1" x14ac:dyDescent="0.4">
      <c r="A50" s="18" t="s">
        <v>158</v>
      </c>
      <c r="B50" s="4"/>
      <c r="C50" s="21">
        <f>SUM(C4+C11-C48)</f>
        <v>35912.490000000005</v>
      </c>
      <c r="D50" s="2"/>
      <c r="E50" s="2"/>
      <c r="F50" s="2"/>
      <c r="G50" s="2"/>
      <c r="H50" s="2"/>
      <c r="I50" s="2"/>
      <c r="J50" s="2"/>
      <c r="K50" s="2"/>
      <c r="L50" s="2"/>
      <c r="M50" s="2"/>
      <c r="N50" s="2"/>
      <c r="O50" s="2"/>
      <c r="P50" s="2"/>
    </row>
    <row r="51" spans="1:16" ht="15" thickTop="1" x14ac:dyDescent="0.35"/>
  </sheetData>
  <pageMargins left="0.7" right="0.7" top="0.75" bottom="0.75" header="0.3" footer="0.3"/>
  <pageSetup scale="80" orientation="portrait"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024FB-76FF-4E08-BD26-C94CE92D8958}">
  <sheetPr>
    <tabColor rgb="FF00B0F0"/>
    <pageSetUpPr fitToPage="1"/>
  </sheetPr>
  <dimension ref="A1:P51"/>
  <sheetViews>
    <sheetView zoomScaleNormal="100" workbookViewId="0">
      <selection activeCell="B2" sqref="B2"/>
    </sheetView>
  </sheetViews>
  <sheetFormatPr defaultRowHeight="14.5" x14ac:dyDescent="0.35"/>
  <cols>
    <col min="1" max="1" width="42.54296875" customWidth="1"/>
    <col min="2" max="2" width="15.54296875" customWidth="1"/>
    <col min="3" max="3" width="20.1796875" customWidth="1"/>
    <col min="4" max="4" width="30.7265625" customWidth="1"/>
  </cols>
  <sheetData>
    <row r="1" spans="1:16" ht="23.5" x14ac:dyDescent="0.55000000000000004">
      <c r="A1" s="1"/>
      <c r="B1" s="2"/>
      <c r="C1" s="2"/>
      <c r="D1" s="173"/>
      <c r="E1" s="2"/>
      <c r="F1" s="2"/>
      <c r="G1" s="2"/>
      <c r="H1" s="2"/>
      <c r="I1" s="2"/>
      <c r="J1" s="2"/>
      <c r="K1" s="2"/>
      <c r="L1" s="2"/>
      <c r="M1" s="2"/>
      <c r="N1" s="2"/>
      <c r="O1" s="2"/>
      <c r="P1" s="2"/>
    </row>
    <row r="2" spans="1:16" x14ac:dyDescent="0.35">
      <c r="A2" s="4" t="s">
        <v>185</v>
      </c>
      <c r="B2" s="2"/>
      <c r="C2" s="2"/>
      <c r="D2" s="5"/>
      <c r="E2" s="2"/>
      <c r="F2" s="2"/>
      <c r="G2" s="2"/>
      <c r="H2" s="2"/>
      <c r="I2" s="2"/>
      <c r="J2" s="2"/>
      <c r="K2" s="2"/>
      <c r="L2" s="2"/>
      <c r="M2" s="2"/>
      <c r="N2" s="2"/>
      <c r="O2" s="2"/>
      <c r="P2" s="2"/>
    </row>
    <row r="3" spans="1:16" x14ac:dyDescent="0.35">
      <c r="A3" s="1"/>
      <c r="B3" s="6"/>
      <c r="C3" s="7"/>
      <c r="D3" s="7"/>
      <c r="E3" s="7"/>
      <c r="F3" s="7"/>
      <c r="G3" s="7"/>
      <c r="H3" s="7"/>
      <c r="I3" s="7"/>
      <c r="J3" s="7"/>
      <c r="K3" s="7"/>
      <c r="L3" s="7"/>
      <c r="M3" s="7"/>
      <c r="N3" s="7"/>
      <c r="O3" s="7"/>
      <c r="P3" s="7"/>
    </row>
    <row r="4" spans="1:16" ht="15" thickBot="1" x14ac:dyDescent="0.4">
      <c r="A4" s="8" t="s">
        <v>186</v>
      </c>
      <c r="B4" s="6"/>
      <c r="C4" s="9">
        <f>+'October 2024 p6'!C50</f>
        <v>28135.629999999997</v>
      </c>
      <c r="D4" s="7"/>
      <c r="E4" s="7"/>
      <c r="F4" s="7"/>
      <c r="G4" s="7"/>
      <c r="H4" s="7"/>
      <c r="I4" s="7"/>
      <c r="J4" s="7"/>
      <c r="K4" s="7"/>
      <c r="L4" s="7"/>
      <c r="M4" s="7"/>
      <c r="N4" s="7"/>
      <c r="O4" s="7"/>
      <c r="P4" s="7"/>
    </row>
    <row r="5" spans="1:16" x14ac:dyDescent="0.35">
      <c r="A5" s="10" t="s">
        <v>33</v>
      </c>
      <c r="B5" s="6"/>
      <c r="C5" s="7"/>
      <c r="D5" s="7"/>
      <c r="E5" s="7"/>
      <c r="F5" s="7"/>
      <c r="G5" s="7"/>
      <c r="H5" s="7"/>
      <c r="I5" s="7"/>
      <c r="J5" s="7"/>
      <c r="K5" s="7"/>
      <c r="L5" s="7"/>
      <c r="M5" s="7"/>
      <c r="N5" s="7"/>
      <c r="O5" s="7"/>
      <c r="P5" s="7"/>
    </row>
    <row r="6" spans="1:16" x14ac:dyDescent="0.35">
      <c r="A6" s="11" t="s">
        <v>17</v>
      </c>
      <c r="B6" s="12"/>
      <c r="C6" s="7"/>
      <c r="D6" s="7"/>
      <c r="E6" s="7"/>
      <c r="F6" s="7"/>
      <c r="G6" s="7"/>
      <c r="H6" s="7"/>
      <c r="I6" s="7"/>
      <c r="J6" s="7"/>
      <c r="K6" s="7"/>
      <c r="L6" s="7"/>
      <c r="M6" s="7"/>
      <c r="N6" s="7"/>
      <c r="O6" s="7"/>
      <c r="P6" s="7"/>
    </row>
    <row r="7" spans="1:16" x14ac:dyDescent="0.35">
      <c r="A7" s="11" t="s">
        <v>114</v>
      </c>
      <c r="B7" s="12"/>
      <c r="C7" s="7"/>
      <c r="D7" s="7"/>
      <c r="E7" s="7"/>
      <c r="F7" s="7"/>
      <c r="G7" s="7"/>
      <c r="H7" s="7"/>
      <c r="I7" s="7"/>
      <c r="J7" s="7"/>
      <c r="K7" s="7"/>
      <c r="L7" s="7"/>
      <c r="M7" s="7"/>
      <c r="N7" s="7"/>
      <c r="O7" s="7"/>
      <c r="P7" s="7"/>
    </row>
    <row r="8" spans="1:16" x14ac:dyDescent="0.35">
      <c r="A8" s="82" t="s">
        <v>115</v>
      </c>
      <c r="B8" s="12"/>
      <c r="C8" s="26"/>
      <c r="D8" s="7"/>
      <c r="E8" s="7"/>
      <c r="F8" s="7"/>
      <c r="G8" s="7"/>
      <c r="H8" s="7"/>
      <c r="I8" s="7"/>
      <c r="J8" s="7"/>
      <c r="K8" s="7"/>
      <c r="L8" s="7"/>
      <c r="M8" s="7"/>
      <c r="N8" s="7"/>
      <c r="O8" s="7"/>
      <c r="P8" s="7"/>
    </row>
    <row r="9" spans="1:16" x14ac:dyDescent="0.35">
      <c r="A9" s="11" t="s">
        <v>116</v>
      </c>
      <c r="B9" s="12"/>
      <c r="C9" s="7"/>
      <c r="D9" s="7"/>
      <c r="E9" s="7"/>
      <c r="F9" s="7"/>
      <c r="G9" s="7"/>
      <c r="H9" s="7"/>
      <c r="I9" s="7"/>
      <c r="J9" s="7"/>
      <c r="K9" s="7"/>
      <c r="L9" s="7"/>
      <c r="M9" s="7"/>
      <c r="N9" s="7"/>
      <c r="O9" s="7"/>
      <c r="P9" s="7"/>
    </row>
    <row r="10" spans="1:16" x14ac:dyDescent="0.35">
      <c r="A10" s="11" t="s">
        <v>117</v>
      </c>
      <c r="B10" s="12"/>
      <c r="C10" s="7"/>
      <c r="D10" s="7"/>
      <c r="E10" s="7"/>
      <c r="F10" s="7"/>
      <c r="G10" s="7"/>
      <c r="H10" s="7"/>
      <c r="I10" s="7"/>
      <c r="J10" s="7"/>
      <c r="K10" s="7"/>
      <c r="L10" s="7"/>
      <c r="M10" s="7"/>
      <c r="N10" s="7"/>
      <c r="O10" s="7"/>
      <c r="P10" s="7"/>
    </row>
    <row r="11" spans="1:16" ht="17" x14ac:dyDescent="0.6">
      <c r="A11" s="13" t="s">
        <v>118</v>
      </c>
      <c r="B11" s="14" t="s">
        <v>119</v>
      </c>
      <c r="C11" s="15">
        <f>SUM(B6:B10)</f>
        <v>0</v>
      </c>
      <c r="D11" s="7"/>
      <c r="E11" s="7"/>
      <c r="F11" s="7"/>
      <c r="G11" s="7"/>
      <c r="H11" s="7"/>
      <c r="I11" s="7"/>
      <c r="J11" s="7"/>
      <c r="K11" s="7"/>
      <c r="L11" s="7"/>
      <c r="M11" s="7"/>
      <c r="N11" s="7"/>
      <c r="O11" s="7"/>
      <c r="P11" s="7"/>
    </row>
    <row r="12" spans="1:16" x14ac:dyDescent="0.35">
      <c r="A12" s="1"/>
      <c r="B12" s="16"/>
      <c r="C12" s="7"/>
      <c r="D12" s="7"/>
      <c r="E12" s="7"/>
      <c r="F12" s="7"/>
      <c r="G12" s="7"/>
      <c r="H12" s="7"/>
      <c r="I12" s="7"/>
      <c r="J12" s="7"/>
      <c r="K12" s="7"/>
      <c r="L12" s="7"/>
      <c r="M12" s="7"/>
      <c r="N12" s="7"/>
      <c r="O12" s="7"/>
      <c r="P12" s="7"/>
    </row>
    <row r="13" spans="1:16" x14ac:dyDescent="0.35">
      <c r="A13" s="10" t="s">
        <v>34</v>
      </c>
      <c r="B13" s="16"/>
      <c r="C13" s="7"/>
      <c r="D13" s="7"/>
      <c r="E13" s="7"/>
      <c r="F13" s="7"/>
      <c r="G13" s="7"/>
      <c r="H13" s="7"/>
      <c r="I13" s="7"/>
      <c r="J13" s="7"/>
      <c r="K13" s="7"/>
      <c r="L13" s="7"/>
      <c r="M13" s="7"/>
      <c r="N13" s="7"/>
      <c r="O13" s="7"/>
      <c r="P13" s="7"/>
    </row>
    <row r="14" spans="1:16" x14ac:dyDescent="0.35">
      <c r="A14" s="11" t="s">
        <v>57</v>
      </c>
      <c r="B14" s="17"/>
      <c r="C14" s="7"/>
      <c r="D14" s="22"/>
      <c r="E14" s="7"/>
      <c r="F14" s="7"/>
      <c r="G14" s="7"/>
      <c r="H14" s="7"/>
      <c r="I14" s="7"/>
      <c r="J14" s="7"/>
      <c r="K14" s="7"/>
      <c r="L14" s="7"/>
      <c r="M14" s="7"/>
      <c r="N14" s="7"/>
      <c r="O14" s="7"/>
      <c r="P14" s="7"/>
    </row>
    <row r="15" spans="1:16" x14ac:dyDescent="0.35">
      <c r="A15" s="11" t="s">
        <v>58</v>
      </c>
      <c r="B15" s="17"/>
      <c r="C15" s="7"/>
      <c r="D15" s="7"/>
      <c r="E15" s="7"/>
      <c r="F15" s="7"/>
      <c r="G15" s="7"/>
      <c r="H15" s="7"/>
      <c r="I15" s="7"/>
      <c r="J15" s="7"/>
      <c r="K15" s="7"/>
      <c r="L15" s="7"/>
      <c r="M15" s="7"/>
      <c r="N15" s="7"/>
      <c r="O15" s="7"/>
      <c r="P15" s="7"/>
    </row>
    <row r="16" spans="1:16" x14ac:dyDescent="0.35">
      <c r="A16" s="11" t="s">
        <v>59</v>
      </c>
      <c r="B16" s="17"/>
      <c r="C16" s="7"/>
      <c r="D16" s="7"/>
      <c r="E16" s="7"/>
      <c r="F16" s="7"/>
      <c r="G16" s="7"/>
      <c r="H16" s="7"/>
      <c r="I16" s="7"/>
      <c r="J16" s="7"/>
      <c r="K16" s="7"/>
      <c r="L16" s="7"/>
      <c r="M16" s="7"/>
      <c r="N16" s="7"/>
      <c r="O16" s="7"/>
      <c r="P16" s="7"/>
    </row>
    <row r="17" spans="1:16" x14ac:dyDescent="0.35">
      <c r="A17" s="11" t="s">
        <v>120</v>
      </c>
      <c r="B17" s="17"/>
      <c r="C17" s="7"/>
      <c r="D17" s="7"/>
      <c r="E17" s="7"/>
      <c r="F17" s="7"/>
      <c r="G17" s="7"/>
      <c r="H17" s="7"/>
      <c r="I17" s="7"/>
      <c r="J17" s="7"/>
      <c r="K17" s="7"/>
      <c r="L17" s="7"/>
      <c r="M17" s="7"/>
      <c r="N17" s="7"/>
      <c r="O17" s="7"/>
      <c r="P17" s="7"/>
    </row>
    <row r="18" spans="1:16" x14ac:dyDescent="0.35">
      <c r="A18" s="11" t="s">
        <v>61</v>
      </c>
      <c r="B18" s="17"/>
      <c r="C18" s="7"/>
      <c r="D18" s="7"/>
      <c r="E18" s="7"/>
      <c r="F18" s="7"/>
      <c r="G18" s="7"/>
      <c r="H18" s="7"/>
      <c r="I18" s="7"/>
      <c r="J18" s="7"/>
      <c r="K18" s="7"/>
      <c r="L18" s="7"/>
      <c r="M18" s="7"/>
      <c r="N18" s="7"/>
      <c r="O18" s="7"/>
      <c r="P18" s="7"/>
    </row>
    <row r="19" spans="1:16" x14ac:dyDescent="0.35">
      <c r="A19" s="11" t="s">
        <v>62</v>
      </c>
      <c r="B19" s="17"/>
      <c r="C19" s="7"/>
      <c r="D19" s="7"/>
      <c r="E19" s="7"/>
      <c r="F19" s="7"/>
      <c r="G19" s="7"/>
      <c r="H19" s="7"/>
      <c r="I19" s="7"/>
      <c r="J19" s="7"/>
      <c r="K19" s="7"/>
      <c r="L19" s="7"/>
      <c r="M19" s="7"/>
      <c r="N19" s="7"/>
      <c r="O19" s="7"/>
      <c r="P19" s="7"/>
    </row>
    <row r="20" spans="1:16" x14ac:dyDescent="0.35">
      <c r="A20" s="11" t="s">
        <v>63</v>
      </c>
      <c r="B20" s="17"/>
      <c r="C20" s="7"/>
      <c r="D20" s="7"/>
      <c r="E20" s="7"/>
      <c r="F20" s="7"/>
      <c r="G20" s="7"/>
      <c r="H20" s="7"/>
      <c r="I20" s="7"/>
      <c r="J20" s="7"/>
      <c r="K20" s="7"/>
      <c r="L20" s="7"/>
      <c r="M20" s="7"/>
      <c r="N20" s="7"/>
      <c r="O20" s="7"/>
      <c r="P20" s="7"/>
    </row>
    <row r="21" spans="1:16" x14ac:dyDescent="0.35">
      <c r="A21" s="11" t="s">
        <v>64</v>
      </c>
      <c r="B21" s="17"/>
      <c r="C21" s="7"/>
      <c r="D21" s="7"/>
      <c r="E21" s="7"/>
      <c r="F21" s="7"/>
      <c r="G21" s="7"/>
      <c r="H21" s="7"/>
      <c r="I21" s="7"/>
      <c r="J21" s="7"/>
      <c r="K21" s="7"/>
      <c r="L21" s="7"/>
      <c r="M21" s="7"/>
      <c r="N21" s="7"/>
      <c r="O21" s="7"/>
      <c r="P21" s="7"/>
    </row>
    <row r="22" spans="1:16" x14ac:dyDescent="0.35">
      <c r="A22" s="11" t="s">
        <v>121</v>
      </c>
      <c r="B22" s="17"/>
      <c r="C22" s="7"/>
      <c r="D22" s="7"/>
      <c r="E22" s="7"/>
      <c r="F22" s="7"/>
      <c r="G22" s="7"/>
      <c r="H22" s="7"/>
      <c r="I22" s="7"/>
      <c r="J22" s="7"/>
      <c r="K22" s="7"/>
      <c r="L22" s="7"/>
      <c r="M22" s="7"/>
      <c r="N22" s="7"/>
      <c r="O22" s="7"/>
      <c r="P22" s="7"/>
    </row>
    <row r="23" spans="1:16" x14ac:dyDescent="0.35">
      <c r="A23" s="11" t="s">
        <v>66</v>
      </c>
      <c r="B23" s="17"/>
      <c r="C23" s="7"/>
      <c r="D23" s="7"/>
      <c r="E23" s="7"/>
      <c r="F23" s="7"/>
      <c r="G23" s="7"/>
      <c r="H23" s="7"/>
      <c r="I23" s="7"/>
      <c r="J23" s="7"/>
      <c r="K23" s="7"/>
      <c r="L23" s="7"/>
      <c r="M23" s="7"/>
      <c r="N23" s="7"/>
      <c r="O23" s="7"/>
      <c r="P23" s="7"/>
    </row>
    <row r="24" spans="1:16" hidden="1" x14ac:dyDescent="0.35">
      <c r="A24" s="11" t="s">
        <v>67</v>
      </c>
      <c r="B24" s="17"/>
      <c r="C24" s="7"/>
      <c r="D24" s="7"/>
      <c r="E24" s="7"/>
      <c r="F24" s="7"/>
      <c r="G24" s="7"/>
      <c r="H24" s="7"/>
      <c r="I24" s="7"/>
      <c r="J24" s="7"/>
      <c r="K24" s="7"/>
      <c r="L24" s="7"/>
      <c r="M24" s="7"/>
      <c r="N24" s="7"/>
      <c r="O24" s="7"/>
      <c r="P24" s="7"/>
    </row>
    <row r="25" spans="1:16" x14ac:dyDescent="0.35">
      <c r="A25" s="11" t="s">
        <v>68</v>
      </c>
      <c r="B25" s="17"/>
      <c r="C25" s="7"/>
      <c r="D25" s="7"/>
      <c r="E25" s="7"/>
      <c r="F25" s="7"/>
      <c r="G25" s="7"/>
      <c r="H25" s="7"/>
      <c r="I25" s="7"/>
      <c r="J25" s="7"/>
      <c r="K25" s="7"/>
      <c r="L25" s="7"/>
      <c r="M25" s="7"/>
      <c r="N25" s="7"/>
      <c r="O25" s="7"/>
      <c r="P25" s="7"/>
    </row>
    <row r="26" spans="1:16" x14ac:dyDescent="0.35">
      <c r="A26" s="11" t="s">
        <v>69</v>
      </c>
      <c r="B26" s="17"/>
      <c r="C26" s="7"/>
      <c r="D26" s="7"/>
      <c r="E26" s="7"/>
      <c r="F26" s="7"/>
      <c r="G26" s="7"/>
      <c r="H26" s="7"/>
      <c r="I26" s="7"/>
      <c r="J26" s="7"/>
      <c r="K26" s="7"/>
      <c r="L26" s="7"/>
      <c r="M26" s="7"/>
      <c r="N26" s="7"/>
      <c r="O26" s="7"/>
      <c r="P26" s="7"/>
    </row>
    <row r="27" spans="1:16" x14ac:dyDescent="0.35">
      <c r="A27" s="11" t="s">
        <v>122</v>
      </c>
      <c r="B27" s="17"/>
      <c r="C27" s="7"/>
      <c r="D27" s="7"/>
      <c r="E27" s="7"/>
      <c r="F27" s="7"/>
      <c r="G27" s="7"/>
      <c r="H27" s="7"/>
      <c r="I27" s="7"/>
      <c r="J27" s="7"/>
      <c r="K27" s="7"/>
      <c r="L27" s="7"/>
      <c r="M27" s="7"/>
      <c r="N27" s="7"/>
      <c r="O27" s="7"/>
      <c r="P27" s="7"/>
    </row>
    <row r="28" spans="1:16" x14ac:dyDescent="0.35">
      <c r="A28" s="11" t="s">
        <v>123</v>
      </c>
      <c r="B28" s="17"/>
      <c r="C28" s="7"/>
      <c r="D28" s="7"/>
      <c r="E28" s="7"/>
      <c r="F28" s="7"/>
      <c r="G28" s="7"/>
      <c r="H28" s="7"/>
      <c r="I28" s="7"/>
      <c r="J28" s="7"/>
      <c r="K28" s="7"/>
      <c r="L28" s="7"/>
      <c r="M28" s="7"/>
      <c r="N28" s="7"/>
      <c r="O28" s="7"/>
      <c r="P28" s="7"/>
    </row>
    <row r="29" spans="1:16" x14ac:dyDescent="0.35">
      <c r="A29" s="11" t="s">
        <v>72</v>
      </c>
      <c r="B29" s="17"/>
      <c r="C29" s="7"/>
      <c r="D29" s="7"/>
      <c r="E29" s="7"/>
      <c r="F29" s="7"/>
      <c r="G29" s="7"/>
      <c r="H29" s="7"/>
      <c r="I29" s="7"/>
      <c r="J29" s="7"/>
      <c r="K29" s="7"/>
      <c r="L29" s="7"/>
      <c r="M29" s="7"/>
      <c r="N29" s="7"/>
      <c r="O29" s="7"/>
      <c r="P29" s="7"/>
    </row>
    <row r="30" spans="1:16" x14ac:dyDescent="0.35">
      <c r="A30" s="11" t="s">
        <v>73</v>
      </c>
      <c r="B30" s="17"/>
      <c r="C30" s="7"/>
      <c r="D30" s="7"/>
      <c r="E30" s="7"/>
      <c r="F30" s="7"/>
      <c r="G30" s="7"/>
      <c r="H30" s="7"/>
      <c r="I30" s="7"/>
      <c r="J30" s="7"/>
      <c r="K30" s="7"/>
      <c r="L30" s="7"/>
      <c r="M30" s="7"/>
      <c r="N30" s="7"/>
      <c r="O30" s="7"/>
      <c r="P30" s="7"/>
    </row>
    <row r="31" spans="1:16" x14ac:dyDescent="0.35">
      <c r="A31" s="11" t="s">
        <v>74</v>
      </c>
      <c r="B31" s="17">
        <f>+'Mileage-p4'!M19</f>
        <v>0</v>
      </c>
      <c r="C31" s="7" t="s">
        <v>124</v>
      </c>
      <c r="D31" s="7"/>
      <c r="E31" s="7"/>
      <c r="F31" s="7"/>
      <c r="G31" s="7"/>
      <c r="H31" s="7"/>
      <c r="I31" s="7"/>
      <c r="J31" s="7"/>
      <c r="K31" s="7"/>
      <c r="L31" s="7"/>
      <c r="M31" s="7"/>
      <c r="N31" s="7"/>
      <c r="O31" s="7"/>
      <c r="P31" s="7"/>
    </row>
    <row r="32" spans="1:16" x14ac:dyDescent="0.35">
      <c r="A32" s="11" t="s">
        <v>125</v>
      </c>
      <c r="B32" s="17"/>
      <c r="C32" s="7"/>
      <c r="D32" s="7"/>
      <c r="E32" s="7"/>
      <c r="F32" s="7"/>
      <c r="G32" s="7"/>
      <c r="H32" s="7"/>
      <c r="I32" s="7"/>
      <c r="J32" s="7"/>
      <c r="K32" s="7"/>
      <c r="L32" s="7"/>
      <c r="M32" s="7"/>
      <c r="N32" s="7"/>
      <c r="O32" s="7"/>
      <c r="P32" s="7"/>
    </row>
    <row r="33" spans="1:16" x14ac:dyDescent="0.35">
      <c r="A33" s="11" t="s">
        <v>76</v>
      </c>
      <c r="B33" s="17"/>
      <c r="C33" s="7"/>
      <c r="D33" s="7"/>
      <c r="E33" s="7"/>
      <c r="F33" s="7"/>
      <c r="G33" s="7"/>
      <c r="H33" s="7"/>
      <c r="I33" s="7"/>
      <c r="J33" s="7"/>
      <c r="K33" s="7"/>
      <c r="L33" s="7"/>
      <c r="M33" s="7"/>
      <c r="N33" s="7"/>
      <c r="O33" s="7"/>
      <c r="P33" s="7"/>
    </row>
    <row r="34" spans="1:16" x14ac:dyDescent="0.35">
      <c r="A34" s="11" t="s">
        <v>77</v>
      </c>
      <c r="B34" s="17"/>
      <c r="C34" s="7"/>
      <c r="D34" s="7"/>
      <c r="E34" s="7"/>
      <c r="F34" s="7"/>
      <c r="G34" s="7"/>
      <c r="H34" s="7"/>
      <c r="I34" s="7"/>
      <c r="J34" s="7"/>
      <c r="K34" s="7"/>
      <c r="L34" s="7"/>
      <c r="M34" s="7"/>
      <c r="N34" s="7"/>
      <c r="O34" s="7"/>
      <c r="P34" s="7"/>
    </row>
    <row r="35" spans="1:16" x14ac:dyDescent="0.35">
      <c r="A35" s="11" t="s">
        <v>54</v>
      </c>
      <c r="B35" s="17"/>
      <c r="C35" s="7"/>
      <c r="D35" s="7"/>
      <c r="E35" s="7"/>
      <c r="F35" s="7"/>
      <c r="G35" s="7"/>
      <c r="H35" s="7"/>
      <c r="I35" s="7"/>
      <c r="J35" s="7"/>
      <c r="K35" s="7"/>
      <c r="L35" s="7"/>
      <c r="M35" s="7"/>
      <c r="N35" s="7"/>
      <c r="O35" s="7"/>
      <c r="P35" s="7"/>
    </row>
    <row r="36" spans="1:16" x14ac:dyDescent="0.35">
      <c r="A36" s="11" t="s">
        <v>78</v>
      </c>
      <c r="B36" s="17"/>
      <c r="C36" s="7"/>
      <c r="D36" s="7"/>
      <c r="E36" s="7"/>
      <c r="F36" s="7"/>
      <c r="G36" s="7"/>
      <c r="H36" s="7"/>
      <c r="I36" s="7"/>
      <c r="J36" s="7"/>
      <c r="K36" s="7"/>
      <c r="L36" s="7"/>
      <c r="M36" s="7"/>
      <c r="N36" s="7"/>
      <c r="O36" s="7"/>
      <c r="P36" s="7"/>
    </row>
    <row r="37" spans="1:16" x14ac:dyDescent="0.35">
      <c r="A37" s="11" t="s">
        <v>79</v>
      </c>
      <c r="B37" s="17"/>
      <c r="C37" s="7"/>
      <c r="D37" s="7"/>
      <c r="E37" s="7"/>
      <c r="F37" s="7"/>
      <c r="G37" s="7"/>
      <c r="H37" s="7"/>
      <c r="I37" s="7"/>
      <c r="J37" s="7"/>
      <c r="K37" s="7"/>
      <c r="L37" s="7"/>
      <c r="M37" s="7"/>
      <c r="N37" s="7"/>
      <c r="O37" s="7"/>
      <c r="P37" s="7"/>
    </row>
    <row r="38" spans="1:16" x14ac:dyDescent="0.35">
      <c r="A38" s="25" t="s">
        <v>80</v>
      </c>
      <c r="B38" s="17"/>
      <c r="C38" s="7"/>
      <c r="D38" s="7"/>
      <c r="E38" s="7"/>
      <c r="F38" s="7"/>
      <c r="G38" s="7"/>
      <c r="H38" s="7"/>
      <c r="I38" s="7"/>
      <c r="J38" s="7"/>
      <c r="K38" s="7"/>
      <c r="L38" s="7"/>
      <c r="M38" s="7"/>
      <c r="N38" s="7"/>
      <c r="O38" s="7"/>
      <c r="P38" s="7"/>
    </row>
    <row r="39" spans="1:16" x14ac:dyDescent="0.35">
      <c r="A39" s="11" t="s">
        <v>81</v>
      </c>
      <c r="B39" s="17"/>
      <c r="C39" s="2"/>
      <c r="D39" s="2"/>
      <c r="E39" s="2"/>
      <c r="F39" s="2"/>
      <c r="G39" s="2"/>
      <c r="H39" s="2"/>
      <c r="I39" s="2"/>
      <c r="J39" s="2"/>
      <c r="K39" s="2"/>
      <c r="L39" s="2"/>
      <c r="M39" s="2"/>
      <c r="N39" s="2"/>
      <c r="O39" s="2"/>
      <c r="P39" s="2"/>
    </row>
    <row r="40" spans="1:16" x14ac:dyDescent="0.35">
      <c r="A40" s="11" t="s">
        <v>82</v>
      </c>
      <c r="B40" s="17"/>
      <c r="C40" s="2"/>
      <c r="D40" s="2"/>
      <c r="E40" s="2"/>
      <c r="F40" s="2"/>
      <c r="G40" s="2"/>
      <c r="H40" s="2"/>
      <c r="I40" s="2"/>
      <c r="J40" s="2"/>
      <c r="K40" s="2"/>
      <c r="L40" s="2"/>
      <c r="M40" s="2"/>
      <c r="N40" s="2"/>
      <c r="O40" s="2"/>
      <c r="P40" s="2"/>
    </row>
    <row r="41" spans="1:16" x14ac:dyDescent="0.35">
      <c r="A41" s="25" t="s">
        <v>83</v>
      </c>
      <c r="B41" s="17"/>
      <c r="C41" s="2"/>
      <c r="D41" s="2"/>
      <c r="E41" s="2"/>
      <c r="F41" s="2"/>
      <c r="G41" s="2"/>
      <c r="H41" s="2"/>
      <c r="I41" s="2"/>
      <c r="J41" s="2"/>
      <c r="K41" s="2"/>
      <c r="L41" s="2"/>
      <c r="M41" s="2"/>
      <c r="N41" s="2"/>
      <c r="O41" s="2"/>
      <c r="P41" s="2"/>
    </row>
    <row r="42" spans="1:16" x14ac:dyDescent="0.35">
      <c r="A42" s="27" t="s">
        <v>24</v>
      </c>
      <c r="B42" s="28"/>
      <c r="C42" s="2"/>
      <c r="D42" s="2"/>
      <c r="E42" s="2"/>
      <c r="F42" s="2"/>
      <c r="G42" s="2"/>
      <c r="H42" s="2"/>
      <c r="I42" s="2"/>
      <c r="J42" s="2"/>
      <c r="K42" s="2"/>
      <c r="L42" s="2"/>
      <c r="M42" s="2"/>
      <c r="N42" s="2"/>
      <c r="O42" s="2"/>
      <c r="P42" s="2"/>
    </row>
    <row r="43" spans="1:16" x14ac:dyDescent="0.35">
      <c r="A43" s="11" t="s">
        <v>126</v>
      </c>
      <c r="B43" s="17"/>
      <c r="C43" s="2"/>
      <c r="D43" s="2"/>
      <c r="E43" s="2"/>
      <c r="F43" s="2"/>
      <c r="G43" s="2"/>
      <c r="H43" s="2"/>
      <c r="I43" s="2"/>
      <c r="J43" s="2"/>
      <c r="K43" s="2"/>
      <c r="L43" s="2"/>
      <c r="M43" s="2"/>
      <c r="N43" s="2"/>
      <c r="O43" s="2"/>
      <c r="P43" s="2"/>
    </row>
    <row r="44" spans="1:16" x14ac:dyDescent="0.35">
      <c r="A44" s="11" t="s">
        <v>86</v>
      </c>
      <c r="B44" s="17"/>
      <c r="C44" s="2"/>
      <c r="D44" s="2"/>
      <c r="E44" s="2"/>
      <c r="F44" s="2"/>
      <c r="G44" s="2"/>
      <c r="H44" s="2"/>
      <c r="I44" s="2"/>
      <c r="J44" s="2"/>
      <c r="K44" s="2"/>
      <c r="L44" s="2"/>
      <c r="M44" s="2"/>
      <c r="N44" s="2"/>
      <c r="O44" s="2"/>
      <c r="P44" s="2"/>
    </row>
    <row r="45" spans="1:16" x14ac:dyDescent="0.35">
      <c r="A45" s="11" t="s">
        <v>87</v>
      </c>
      <c r="B45" s="17"/>
      <c r="C45" s="2"/>
      <c r="D45" s="2"/>
      <c r="E45" s="2"/>
      <c r="F45" s="2"/>
      <c r="G45" s="2"/>
      <c r="H45" s="2"/>
      <c r="I45" s="2"/>
      <c r="J45" s="2"/>
      <c r="K45" s="2"/>
      <c r="L45" s="2"/>
      <c r="M45" s="2"/>
      <c r="N45" s="2"/>
      <c r="O45" s="2"/>
      <c r="P45" s="2"/>
    </row>
    <row r="46" spans="1:16" x14ac:dyDescent="0.35">
      <c r="A46" s="11" t="s">
        <v>28</v>
      </c>
      <c r="B46" s="17"/>
      <c r="C46" s="2"/>
      <c r="D46" s="2"/>
      <c r="E46" s="2"/>
      <c r="F46" s="2"/>
      <c r="G46" s="2"/>
      <c r="H46" s="2"/>
      <c r="I46" s="2"/>
      <c r="J46" s="2"/>
      <c r="K46" s="2"/>
      <c r="L46" s="2"/>
      <c r="M46" s="2"/>
      <c r="N46" s="2"/>
      <c r="O46" s="2"/>
      <c r="P46" s="2"/>
    </row>
    <row r="47" spans="1:16" x14ac:dyDescent="0.35">
      <c r="A47" s="25" t="s">
        <v>88</v>
      </c>
      <c r="B47" s="17"/>
      <c r="C47" s="2"/>
    </row>
    <row r="48" spans="1:16" ht="17" x14ac:dyDescent="0.6">
      <c r="A48" s="13" t="s">
        <v>90</v>
      </c>
      <c r="B48" s="19" t="s">
        <v>127</v>
      </c>
      <c r="C48" s="20">
        <f>SUM(B14:B47)</f>
        <v>0</v>
      </c>
    </row>
    <row r="49" spans="1:3" x14ac:dyDescent="0.35">
      <c r="A49" s="2"/>
      <c r="B49" s="6"/>
      <c r="C49" s="2"/>
    </row>
    <row r="50" spans="1:3" ht="15" thickBot="1" x14ac:dyDescent="0.4">
      <c r="A50" s="18" t="s">
        <v>196</v>
      </c>
      <c r="B50" s="4"/>
      <c r="C50" s="21">
        <f>SUM(C4+C11-C48)</f>
        <v>28135.629999999997</v>
      </c>
    </row>
    <row r="51" spans="1:3" ht="15" thickTop="1" x14ac:dyDescent="0.35"/>
  </sheetData>
  <pageMargins left="0.7" right="0.7" top="0.75" bottom="0.75" header="0.3" footer="0.3"/>
  <pageSetup scale="82"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EEBAA-5EA6-4065-94EA-0EB1FAE3B9B4}">
  <sheetPr>
    <tabColor rgb="FF00B0F0"/>
    <pageSetUpPr fitToPage="1"/>
  </sheetPr>
  <dimension ref="A1:P54"/>
  <sheetViews>
    <sheetView zoomScaleNormal="100" workbookViewId="0">
      <selection activeCell="D1" sqref="D1"/>
    </sheetView>
  </sheetViews>
  <sheetFormatPr defaultRowHeight="14.5" x14ac:dyDescent="0.35"/>
  <cols>
    <col min="1" max="1" width="42.54296875" customWidth="1"/>
    <col min="2" max="2" width="15.54296875" customWidth="1"/>
    <col min="3" max="3" width="20.1796875" customWidth="1"/>
    <col min="4" max="4" width="32.1796875" customWidth="1"/>
    <col min="5" max="5" width="9.1796875" customWidth="1"/>
  </cols>
  <sheetData>
    <row r="1" spans="1:16" ht="23.5" x14ac:dyDescent="0.55000000000000004">
      <c r="A1" s="1"/>
      <c r="B1" s="2"/>
      <c r="C1" s="2"/>
      <c r="D1" s="173"/>
      <c r="E1" s="2"/>
      <c r="F1" s="2"/>
      <c r="G1" s="2"/>
      <c r="H1" s="2"/>
      <c r="I1" s="2"/>
      <c r="J1" s="2"/>
      <c r="K1" s="2"/>
      <c r="L1" s="2"/>
      <c r="M1" s="2"/>
      <c r="N1" s="2"/>
      <c r="O1" s="2"/>
      <c r="P1" s="2"/>
    </row>
    <row r="2" spans="1:16" x14ac:dyDescent="0.35">
      <c r="A2" s="4" t="s">
        <v>187</v>
      </c>
      <c r="B2" s="2"/>
      <c r="C2" s="2"/>
      <c r="D2" s="5"/>
      <c r="E2" s="2"/>
      <c r="F2" s="2"/>
      <c r="G2" s="2"/>
      <c r="H2" s="2"/>
      <c r="I2" s="2"/>
      <c r="J2" s="2"/>
      <c r="K2" s="2"/>
      <c r="L2" s="2"/>
      <c r="M2" s="2"/>
      <c r="N2" s="2"/>
      <c r="O2" s="2"/>
      <c r="P2" s="2"/>
    </row>
    <row r="3" spans="1:16" x14ac:dyDescent="0.35">
      <c r="A3" s="1"/>
      <c r="B3" s="6"/>
      <c r="C3" s="7"/>
      <c r="D3" s="7"/>
      <c r="E3" s="7"/>
      <c r="F3" s="7"/>
      <c r="G3" s="7"/>
      <c r="H3" s="7"/>
      <c r="I3" s="7"/>
      <c r="J3" s="7"/>
      <c r="K3" s="7"/>
      <c r="L3" s="7"/>
      <c r="M3" s="7"/>
      <c r="N3" s="7"/>
      <c r="O3" s="7"/>
      <c r="P3" s="7"/>
    </row>
    <row r="4" spans="1:16" ht="15" thickBot="1" x14ac:dyDescent="0.4">
      <c r="A4" s="8" t="s">
        <v>188</v>
      </c>
      <c r="B4" s="6"/>
      <c r="C4" s="9">
        <f>+'November 2024'!C50</f>
        <v>28135.629999999997</v>
      </c>
      <c r="D4" s="7"/>
      <c r="E4" s="7"/>
      <c r="F4" s="7"/>
      <c r="G4" s="7"/>
      <c r="H4" s="7"/>
      <c r="I4" s="7"/>
      <c r="J4" s="7"/>
      <c r="K4" s="7"/>
      <c r="L4" s="7"/>
      <c r="M4" s="7"/>
      <c r="N4" s="7"/>
      <c r="O4" s="7"/>
      <c r="P4" s="7"/>
    </row>
    <row r="5" spans="1:16" x14ac:dyDescent="0.35">
      <c r="A5" s="10" t="s">
        <v>33</v>
      </c>
      <c r="B5" s="6"/>
      <c r="C5" s="7"/>
      <c r="D5" s="7"/>
      <c r="E5" s="7"/>
      <c r="F5" s="7"/>
      <c r="G5" s="7"/>
      <c r="H5" s="7"/>
      <c r="I5" s="7"/>
      <c r="J5" s="7"/>
      <c r="K5" s="7"/>
      <c r="L5" s="7"/>
      <c r="M5" s="7"/>
      <c r="N5" s="7"/>
      <c r="O5" s="7"/>
      <c r="P5" s="7"/>
    </row>
    <row r="6" spans="1:16" x14ac:dyDescent="0.35">
      <c r="A6" s="11" t="s">
        <v>17</v>
      </c>
      <c r="B6" s="12"/>
      <c r="C6" s="7"/>
      <c r="D6" s="7"/>
      <c r="E6" s="7"/>
      <c r="F6" s="7"/>
      <c r="G6" s="7"/>
      <c r="H6" s="7"/>
      <c r="I6" s="7"/>
      <c r="J6" s="7"/>
      <c r="K6" s="7"/>
      <c r="L6" s="7"/>
      <c r="M6" s="7"/>
      <c r="N6" s="7"/>
      <c r="O6" s="7"/>
      <c r="P6" s="7"/>
    </row>
    <row r="7" spans="1:16" x14ac:dyDescent="0.35">
      <c r="A7" s="11" t="s">
        <v>114</v>
      </c>
      <c r="B7" s="12"/>
      <c r="C7" s="7"/>
      <c r="D7" s="7"/>
      <c r="E7" s="7"/>
      <c r="F7" s="7"/>
      <c r="G7" s="7"/>
      <c r="H7" s="7"/>
      <c r="I7" s="7"/>
      <c r="J7" s="7"/>
      <c r="K7" s="7"/>
      <c r="L7" s="7"/>
      <c r="M7" s="7"/>
      <c r="N7" s="7"/>
      <c r="O7" s="7"/>
      <c r="P7" s="7"/>
    </row>
    <row r="8" spans="1:16" x14ac:dyDescent="0.35">
      <c r="A8" s="11" t="s">
        <v>128</v>
      </c>
      <c r="B8" s="12"/>
      <c r="C8" s="7"/>
      <c r="D8" s="7"/>
      <c r="E8" s="7"/>
      <c r="F8" s="7"/>
      <c r="G8" s="7"/>
      <c r="H8" s="7"/>
      <c r="I8" s="7"/>
      <c r="J8" s="7"/>
      <c r="K8" s="7"/>
      <c r="L8" s="7"/>
      <c r="M8" s="7"/>
      <c r="N8" s="7"/>
      <c r="O8" s="7"/>
      <c r="P8" s="7"/>
    </row>
    <row r="9" spans="1:16" x14ac:dyDescent="0.35">
      <c r="A9" s="11" t="s">
        <v>116</v>
      </c>
      <c r="B9" s="12"/>
      <c r="C9" s="7"/>
      <c r="D9" s="7"/>
      <c r="E9" s="7"/>
      <c r="F9" s="7"/>
      <c r="G9" s="7"/>
      <c r="H9" s="7"/>
      <c r="I9" s="7"/>
      <c r="J9" s="7"/>
      <c r="K9" s="7"/>
      <c r="L9" s="7"/>
      <c r="M9" s="7"/>
      <c r="N9" s="7"/>
      <c r="O9" s="7"/>
      <c r="P9" s="7"/>
    </row>
    <row r="10" spans="1:16" x14ac:dyDescent="0.35">
      <c r="A10" s="11" t="s">
        <v>117</v>
      </c>
      <c r="B10" s="12"/>
      <c r="C10" s="7"/>
      <c r="D10" s="7"/>
      <c r="E10" s="7"/>
      <c r="F10" s="7"/>
      <c r="G10" s="7"/>
      <c r="H10" s="7"/>
      <c r="I10" s="7"/>
      <c r="J10" s="7"/>
      <c r="K10" s="7"/>
      <c r="L10" s="7"/>
      <c r="M10" s="7"/>
      <c r="N10" s="7"/>
      <c r="O10" s="7"/>
      <c r="P10" s="7"/>
    </row>
    <row r="11" spans="1:16" ht="17" x14ac:dyDescent="0.6">
      <c r="A11" s="13" t="s">
        <v>118</v>
      </c>
      <c r="B11" s="14" t="s">
        <v>119</v>
      </c>
      <c r="C11" s="15">
        <f>SUM(B6:B10)</f>
        <v>0</v>
      </c>
      <c r="D11" s="7"/>
      <c r="E11" s="7"/>
      <c r="F11" s="7"/>
      <c r="G11" s="7"/>
      <c r="H11" s="7"/>
      <c r="I11" s="7"/>
      <c r="J11" s="7"/>
      <c r="K11" s="7"/>
      <c r="L11" s="7"/>
      <c r="M11" s="7"/>
      <c r="N11" s="7"/>
      <c r="O11" s="7"/>
      <c r="P11" s="7"/>
    </row>
    <row r="12" spans="1:16" x14ac:dyDescent="0.35">
      <c r="A12" s="1"/>
      <c r="B12" s="16"/>
      <c r="C12" s="7"/>
      <c r="D12" s="7"/>
      <c r="E12" s="7"/>
      <c r="F12" s="7"/>
      <c r="G12" s="7"/>
      <c r="H12" s="7"/>
      <c r="I12" s="7"/>
      <c r="J12" s="7"/>
      <c r="K12" s="7"/>
      <c r="L12" s="7"/>
      <c r="M12" s="7"/>
      <c r="N12" s="7"/>
      <c r="O12" s="7"/>
      <c r="P12" s="7"/>
    </row>
    <row r="13" spans="1:16" x14ac:dyDescent="0.35">
      <c r="A13" s="10" t="s">
        <v>34</v>
      </c>
      <c r="B13" s="16"/>
      <c r="C13" s="7"/>
      <c r="D13" s="7"/>
      <c r="E13" s="7"/>
      <c r="F13" s="7"/>
      <c r="G13" s="7"/>
      <c r="H13" s="7"/>
      <c r="I13" s="7"/>
      <c r="J13" s="7"/>
      <c r="K13" s="7"/>
      <c r="L13" s="7"/>
      <c r="M13" s="7"/>
      <c r="N13" s="7"/>
      <c r="O13" s="7"/>
      <c r="P13" s="7"/>
    </row>
    <row r="14" spans="1:16" x14ac:dyDescent="0.35">
      <c r="A14" s="11" t="s">
        <v>57</v>
      </c>
      <c r="B14" s="17"/>
      <c r="C14" s="7"/>
      <c r="D14" s="7"/>
      <c r="E14" s="7"/>
      <c r="F14" s="26"/>
      <c r="G14" s="26"/>
      <c r="H14" s="7"/>
      <c r="I14" s="7"/>
      <c r="J14" s="7"/>
      <c r="K14" s="7"/>
      <c r="L14" s="7"/>
      <c r="M14" s="7"/>
      <c r="N14" s="7"/>
      <c r="O14" s="7"/>
      <c r="P14" s="7"/>
    </row>
    <row r="15" spans="1:16" x14ac:dyDescent="0.35">
      <c r="A15" s="11" t="s">
        <v>58</v>
      </c>
      <c r="B15" s="17"/>
      <c r="C15" s="7"/>
      <c r="D15" s="22"/>
      <c r="E15" s="7"/>
      <c r="F15" s="26"/>
      <c r="G15" s="26"/>
      <c r="H15" s="7"/>
      <c r="I15" s="7"/>
      <c r="J15" s="7"/>
      <c r="K15" s="7"/>
      <c r="L15" s="7"/>
      <c r="M15" s="7"/>
      <c r="N15" s="7"/>
      <c r="O15" s="7"/>
      <c r="P15" s="7"/>
    </row>
    <row r="16" spans="1:16" x14ac:dyDescent="0.35">
      <c r="A16" s="11" t="s">
        <v>59</v>
      </c>
      <c r="B16" s="17"/>
      <c r="C16" s="7"/>
      <c r="D16" s="7"/>
      <c r="E16" s="7"/>
      <c r="F16" s="26"/>
      <c r="G16" s="26"/>
      <c r="H16" s="7"/>
      <c r="I16" s="7"/>
      <c r="J16" s="7"/>
      <c r="K16" s="7"/>
      <c r="L16" s="7"/>
      <c r="M16" s="7"/>
      <c r="N16" s="7"/>
      <c r="O16" s="7"/>
      <c r="P16" s="7"/>
    </row>
    <row r="17" spans="1:16" x14ac:dyDescent="0.35">
      <c r="A17" s="11" t="s">
        <v>120</v>
      </c>
      <c r="B17" s="17"/>
      <c r="C17" s="7"/>
      <c r="D17" s="7"/>
      <c r="E17" s="7"/>
      <c r="F17" s="26"/>
      <c r="G17" s="26"/>
      <c r="H17" s="7"/>
      <c r="I17" s="7"/>
      <c r="J17" s="7"/>
      <c r="K17" s="7"/>
      <c r="L17" s="7"/>
      <c r="M17" s="7"/>
      <c r="N17" s="7"/>
      <c r="O17" s="7"/>
      <c r="P17" s="7"/>
    </row>
    <row r="18" spans="1:16" x14ac:dyDescent="0.35">
      <c r="A18" s="11" t="s">
        <v>61</v>
      </c>
      <c r="B18" s="17"/>
      <c r="C18" s="7"/>
      <c r="D18" s="7"/>
      <c r="E18" s="7"/>
      <c r="F18" s="26"/>
      <c r="G18" s="26"/>
      <c r="H18" s="7"/>
      <c r="I18" s="7"/>
      <c r="J18" s="7"/>
      <c r="K18" s="7"/>
      <c r="L18" s="7"/>
      <c r="M18" s="7"/>
      <c r="N18" s="7"/>
      <c r="O18" s="7"/>
      <c r="P18" s="7"/>
    </row>
    <row r="19" spans="1:16" x14ac:dyDescent="0.35">
      <c r="A19" s="11" t="s">
        <v>62</v>
      </c>
      <c r="B19" s="17"/>
      <c r="C19" s="7"/>
      <c r="D19" s="7"/>
      <c r="E19" s="7"/>
      <c r="F19" s="26"/>
      <c r="G19" s="26"/>
      <c r="H19" s="7"/>
      <c r="I19" s="7"/>
      <c r="J19" s="7"/>
      <c r="K19" s="7"/>
      <c r="L19" s="7"/>
      <c r="M19" s="7"/>
      <c r="N19" s="7"/>
      <c r="O19" s="7"/>
      <c r="P19" s="7"/>
    </row>
    <row r="20" spans="1:16" x14ac:dyDescent="0.35">
      <c r="A20" s="11" t="s">
        <v>63</v>
      </c>
      <c r="B20" s="17"/>
      <c r="C20" s="7"/>
      <c r="D20" s="7"/>
      <c r="E20" s="7"/>
      <c r="F20" s="26"/>
      <c r="G20" s="26"/>
      <c r="H20" s="7"/>
      <c r="I20" s="7"/>
      <c r="J20" s="7"/>
      <c r="K20" s="7"/>
      <c r="L20" s="7"/>
      <c r="M20" s="7"/>
      <c r="N20" s="7"/>
      <c r="O20" s="7"/>
      <c r="P20" s="7"/>
    </row>
    <row r="21" spans="1:16" x14ac:dyDescent="0.35">
      <c r="A21" s="11" t="s">
        <v>64</v>
      </c>
      <c r="B21" s="17"/>
      <c r="C21" s="7"/>
      <c r="D21" s="7"/>
      <c r="E21" s="7"/>
      <c r="F21" s="26"/>
      <c r="G21" s="26"/>
      <c r="H21" s="7"/>
      <c r="I21" s="7"/>
      <c r="J21" s="7"/>
      <c r="K21" s="7"/>
      <c r="L21" s="7"/>
      <c r="M21" s="7"/>
      <c r="N21" s="7"/>
      <c r="O21" s="7"/>
      <c r="P21" s="7"/>
    </row>
    <row r="22" spans="1:16" x14ac:dyDescent="0.35">
      <c r="A22" s="11" t="s">
        <v>121</v>
      </c>
      <c r="B22" s="17"/>
      <c r="C22" s="7"/>
      <c r="D22" s="7"/>
      <c r="E22" s="7"/>
      <c r="F22" s="26"/>
      <c r="G22" s="26"/>
      <c r="H22" s="7"/>
      <c r="I22" s="7"/>
      <c r="J22" s="7"/>
      <c r="K22" s="7"/>
      <c r="L22" s="7"/>
      <c r="M22" s="7"/>
      <c r="N22" s="7"/>
      <c r="O22" s="7"/>
      <c r="P22" s="7"/>
    </row>
    <row r="23" spans="1:16" x14ac:dyDescent="0.35">
      <c r="A23" s="11" t="s">
        <v>66</v>
      </c>
      <c r="B23" s="17"/>
      <c r="C23" s="7"/>
      <c r="D23" s="7"/>
      <c r="E23" s="7"/>
      <c r="F23" s="26"/>
      <c r="G23" s="26"/>
      <c r="H23" s="7"/>
      <c r="I23" s="7"/>
      <c r="J23" s="7"/>
      <c r="K23" s="7"/>
      <c r="L23" s="7"/>
      <c r="M23" s="7"/>
      <c r="N23" s="7"/>
      <c r="O23" s="7"/>
      <c r="P23" s="7"/>
    </row>
    <row r="24" spans="1:16" x14ac:dyDescent="0.35">
      <c r="A24" s="11" t="s">
        <v>67</v>
      </c>
      <c r="B24" s="17"/>
      <c r="C24" s="7"/>
      <c r="D24" s="7"/>
      <c r="E24" s="7"/>
      <c r="F24" s="26"/>
      <c r="G24" s="26"/>
      <c r="H24" s="7"/>
      <c r="I24" s="7"/>
      <c r="J24" s="7"/>
      <c r="K24" s="7"/>
      <c r="L24" s="7"/>
      <c r="M24" s="7"/>
      <c r="N24" s="7"/>
      <c r="O24" s="7"/>
      <c r="P24" s="7"/>
    </row>
    <row r="25" spans="1:16" x14ac:dyDescent="0.35">
      <c r="A25" s="11" t="s">
        <v>68</v>
      </c>
      <c r="B25" s="17"/>
      <c r="C25" s="7"/>
      <c r="D25" s="7"/>
      <c r="E25" s="7"/>
      <c r="F25" s="26"/>
      <c r="G25" s="26"/>
      <c r="H25" s="7"/>
      <c r="I25" s="7"/>
      <c r="J25" s="7"/>
      <c r="K25" s="7"/>
      <c r="L25" s="7"/>
      <c r="M25" s="7"/>
      <c r="N25" s="7"/>
      <c r="O25" s="7"/>
      <c r="P25" s="7"/>
    </row>
    <row r="26" spans="1:16" x14ac:dyDescent="0.35">
      <c r="A26" s="11" t="s">
        <v>69</v>
      </c>
      <c r="B26" s="17"/>
      <c r="C26" s="7"/>
      <c r="D26" s="7"/>
      <c r="E26" s="7"/>
      <c r="F26" s="26"/>
      <c r="G26" s="26"/>
      <c r="H26" s="7"/>
      <c r="I26" s="7"/>
      <c r="J26" s="7"/>
      <c r="K26" s="7"/>
      <c r="L26" s="7"/>
      <c r="M26" s="7"/>
      <c r="N26" s="7"/>
      <c r="O26" s="7"/>
      <c r="P26" s="7"/>
    </row>
    <row r="27" spans="1:16" x14ac:dyDescent="0.35">
      <c r="A27" s="11" t="s">
        <v>122</v>
      </c>
      <c r="B27" s="17"/>
      <c r="C27" s="7"/>
      <c r="D27" s="7"/>
      <c r="E27" s="7"/>
      <c r="F27" s="26"/>
      <c r="G27" s="26"/>
      <c r="H27" s="7"/>
      <c r="I27" s="7"/>
      <c r="J27" s="7"/>
      <c r="K27" s="7"/>
      <c r="L27" s="7"/>
      <c r="M27" s="7"/>
      <c r="N27" s="7"/>
      <c r="O27" s="7"/>
      <c r="P27" s="7"/>
    </row>
    <row r="28" spans="1:16" x14ac:dyDescent="0.35">
      <c r="A28" s="11" t="s">
        <v>123</v>
      </c>
      <c r="B28" s="17"/>
      <c r="C28" s="7"/>
      <c r="D28" s="7"/>
      <c r="E28" s="7"/>
      <c r="F28" s="26"/>
      <c r="G28" s="26"/>
      <c r="H28" s="7"/>
      <c r="I28" s="7"/>
      <c r="J28" s="7"/>
      <c r="K28" s="7"/>
      <c r="L28" s="7"/>
      <c r="M28" s="7"/>
      <c r="N28" s="7"/>
      <c r="O28" s="7"/>
      <c r="P28" s="7"/>
    </row>
    <row r="29" spans="1:16" x14ac:dyDescent="0.35">
      <c r="A29" s="11" t="s">
        <v>72</v>
      </c>
      <c r="B29" s="17"/>
      <c r="C29" s="7"/>
      <c r="D29" s="7"/>
      <c r="E29" s="7"/>
      <c r="F29" s="26"/>
      <c r="G29" s="26"/>
      <c r="H29" s="7"/>
      <c r="I29" s="7"/>
      <c r="J29" s="7"/>
      <c r="K29" s="7"/>
      <c r="L29" s="7"/>
      <c r="M29" s="7"/>
      <c r="N29" s="7"/>
      <c r="O29" s="7"/>
      <c r="P29" s="7"/>
    </row>
    <row r="30" spans="1:16" x14ac:dyDescent="0.35">
      <c r="A30" s="11" t="s">
        <v>73</v>
      </c>
      <c r="B30" s="17"/>
      <c r="C30" s="7"/>
      <c r="D30" s="7"/>
      <c r="E30" s="7"/>
      <c r="F30" s="26"/>
      <c r="G30" s="26"/>
      <c r="H30" s="7"/>
      <c r="I30" s="7"/>
      <c r="J30" s="7"/>
      <c r="K30" s="7"/>
      <c r="L30" s="7"/>
      <c r="M30" s="7"/>
      <c r="N30" s="7"/>
      <c r="O30" s="7"/>
      <c r="P30" s="7"/>
    </row>
    <row r="31" spans="1:16" x14ac:dyDescent="0.35">
      <c r="A31" s="11" t="s">
        <v>74</v>
      </c>
      <c r="B31" s="17">
        <f>+'Mileage-p4'!N19</f>
        <v>0</v>
      </c>
      <c r="C31" s="7" t="s">
        <v>124</v>
      </c>
      <c r="D31" s="7"/>
      <c r="E31" s="7"/>
      <c r="F31" s="26"/>
      <c r="G31" s="26"/>
      <c r="H31" s="7"/>
      <c r="I31" s="7"/>
      <c r="J31" s="7"/>
      <c r="K31" s="7"/>
      <c r="L31" s="7"/>
      <c r="M31" s="7"/>
      <c r="N31" s="7"/>
      <c r="O31" s="7"/>
      <c r="P31" s="7"/>
    </row>
    <row r="32" spans="1:16" x14ac:dyDescent="0.35">
      <c r="A32" s="11" t="s">
        <v>125</v>
      </c>
      <c r="B32" s="17"/>
      <c r="C32" s="7"/>
      <c r="D32" s="7"/>
      <c r="E32" s="7"/>
      <c r="F32" s="26"/>
      <c r="G32" s="26"/>
      <c r="H32" s="7"/>
      <c r="I32" s="7"/>
      <c r="J32" s="7"/>
      <c r="K32" s="7"/>
      <c r="L32" s="7"/>
      <c r="M32" s="7"/>
      <c r="N32" s="7"/>
      <c r="O32" s="7"/>
      <c r="P32" s="7"/>
    </row>
    <row r="33" spans="1:16" x14ac:dyDescent="0.35">
      <c r="A33" s="11" t="s">
        <v>76</v>
      </c>
      <c r="B33" s="17"/>
      <c r="C33" s="7"/>
      <c r="D33" s="7"/>
      <c r="E33" s="7"/>
      <c r="F33" s="26"/>
      <c r="G33" s="26"/>
      <c r="H33" s="7"/>
      <c r="I33" s="7"/>
      <c r="J33" s="7"/>
      <c r="K33" s="7"/>
      <c r="L33" s="7"/>
      <c r="M33" s="7"/>
      <c r="N33" s="7"/>
      <c r="O33" s="7"/>
      <c r="P33" s="7"/>
    </row>
    <row r="34" spans="1:16" x14ac:dyDescent="0.35">
      <c r="A34" s="11" t="s">
        <v>77</v>
      </c>
      <c r="B34" s="17"/>
      <c r="C34" s="7"/>
      <c r="D34" s="7"/>
      <c r="E34" s="7"/>
      <c r="F34" s="26"/>
      <c r="G34" s="26"/>
      <c r="H34" s="7"/>
      <c r="I34" s="7"/>
      <c r="J34" s="7"/>
      <c r="K34" s="7"/>
      <c r="L34" s="7"/>
      <c r="M34" s="7"/>
      <c r="N34" s="7"/>
      <c r="O34" s="7"/>
      <c r="P34" s="7"/>
    </row>
    <row r="35" spans="1:16" x14ac:dyDescent="0.35">
      <c r="A35" s="11" t="s">
        <v>54</v>
      </c>
      <c r="B35" s="17"/>
      <c r="C35" s="7"/>
      <c r="D35" s="7"/>
      <c r="E35" s="7"/>
      <c r="F35" s="26"/>
      <c r="H35" s="7"/>
      <c r="I35" s="7"/>
      <c r="J35" s="7"/>
      <c r="K35" s="7"/>
      <c r="L35" s="7"/>
      <c r="M35" s="7"/>
      <c r="N35" s="7"/>
      <c r="O35" s="7"/>
      <c r="P35" s="7"/>
    </row>
    <row r="36" spans="1:16" x14ac:dyDescent="0.35">
      <c r="A36" s="11" t="s">
        <v>78</v>
      </c>
      <c r="B36" s="17"/>
      <c r="C36" s="7"/>
      <c r="D36" s="7"/>
      <c r="E36" s="7"/>
      <c r="F36" s="26"/>
      <c r="G36" s="26"/>
      <c r="H36" s="7"/>
      <c r="I36" s="7"/>
      <c r="J36" s="7"/>
      <c r="K36" s="7"/>
      <c r="L36" s="7"/>
      <c r="M36" s="7"/>
      <c r="N36" s="7"/>
      <c r="O36" s="7"/>
      <c r="P36" s="7"/>
    </row>
    <row r="37" spans="1:16" x14ac:dyDescent="0.35">
      <c r="A37" s="11" t="s">
        <v>79</v>
      </c>
      <c r="B37" s="17"/>
      <c r="C37" s="7"/>
      <c r="D37" s="7"/>
      <c r="E37" s="7"/>
      <c r="F37" s="26"/>
      <c r="G37" s="26"/>
      <c r="H37" s="7"/>
      <c r="I37" s="7"/>
      <c r="J37" s="7"/>
      <c r="K37" s="7"/>
      <c r="L37" s="7"/>
      <c r="M37" s="7"/>
      <c r="N37" s="7"/>
      <c r="O37" s="7"/>
      <c r="P37" s="7"/>
    </row>
    <row r="38" spans="1:16" x14ac:dyDescent="0.35">
      <c r="A38" s="25" t="s">
        <v>80</v>
      </c>
      <c r="B38" s="17"/>
      <c r="C38" s="7"/>
      <c r="D38" s="7"/>
      <c r="E38" s="7"/>
      <c r="F38" s="26"/>
      <c r="G38" s="26"/>
      <c r="H38" s="7"/>
      <c r="I38" s="7"/>
      <c r="J38" s="7"/>
      <c r="K38" s="7"/>
      <c r="L38" s="7"/>
      <c r="M38" s="7"/>
      <c r="N38" s="7"/>
      <c r="O38" s="7"/>
      <c r="P38" s="7"/>
    </row>
    <row r="39" spans="1:16" x14ac:dyDescent="0.35">
      <c r="A39" s="11" t="s">
        <v>81</v>
      </c>
      <c r="B39" s="17"/>
      <c r="C39" s="2"/>
      <c r="D39" s="7"/>
      <c r="E39" s="7"/>
      <c r="F39" s="26"/>
      <c r="G39" s="26"/>
      <c r="H39" s="7"/>
      <c r="I39" s="7"/>
      <c r="J39" s="7"/>
      <c r="K39" s="7"/>
      <c r="L39" s="7"/>
      <c r="M39" s="7"/>
      <c r="N39" s="7"/>
      <c r="O39" s="7"/>
      <c r="P39" s="7"/>
    </row>
    <row r="40" spans="1:16" x14ac:dyDescent="0.35">
      <c r="A40" s="11" t="s">
        <v>82</v>
      </c>
      <c r="B40" s="17"/>
      <c r="C40" s="2"/>
      <c r="D40" s="2"/>
      <c r="E40" s="2"/>
      <c r="F40" s="26"/>
      <c r="G40" s="26"/>
      <c r="H40" s="2"/>
      <c r="I40" s="2"/>
      <c r="J40" s="2"/>
      <c r="K40" s="2"/>
      <c r="L40" s="2"/>
      <c r="M40" s="2"/>
      <c r="N40" s="2"/>
      <c r="O40" s="2"/>
      <c r="P40" s="2"/>
    </row>
    <row r="41" spans="1:16" x14ac:dyDescent="0.35">
      <c r="A41" s="25" t="s">
        <v>83</v>
      </c>
      <c r="B41" s="17"/>
      <c r="C41" s="2"/>
      <c r="D41" s="2"/>
      <c r="E41" s="2"/>
      <c r="F41" s="26"/>
      <c r="G41" s="26"/>
      <c r="H41" s="2"/>
      <c r="I41" s="2"/>
      <c r="J41" s="2"/>
      <c r="K41" s="2"/>
      <c r="L41" s="2"/>
      <c r="M41" s="2"/>
      <c r="N41" s="2"/>
      <c r="O41" s="2"/>
      <c r="P41" s="2"/>
    </row>
    <row r="42" spans="1:16" x14ac:dyDescent="0.35">
      <c r="A42" s="27" t="s">
        <v>24</v>
      </c>
      <c r="B42" s="28"/>
      <c r="C42" s="2"/>
      <c r="D42" s="2"/>
      <c r="E42" s="2"/>
      <c r="F42" s="2"/>
      <c r="G42" s="2"/>
      <c r="H42" s="2"/>
      <c r="I42" s="2"/>
      <c r="J42" s="2"/>
      <c r="K42" s="2"/>
      <c r="L42" s="2"/>
      <c r="M42" s="2"/>
      <c r="N42" s="2"/>
      <c r="O42" s="2"/>
      <c r="P42" s="2"/>
    </row>
    <row r="43" spans="1:16" x14ac:dyDescent="0.35">
      <c r="A43" s="11" t="s">
        <v>126</v>
      </c>
      <c r="B43" s="17"/>
      <c r="C43" s="2"/>
      <c r="D43" s="2"/>
      <c r="E43" s="2"/>
      <c r="F43" s="2"/>
      <c r="G43" s="2"/>
      <c r="H43" s="2"/>
      <c r="I43" s="2"/>
      <c r="J43" s="2"/>
      <c r="K43" s="2"/>
      <c r="L43" s="2"/>
      <c r="M43" s="2"/>
      <c r="N43" s="2"/>
      <c r="O43" s="2"/>
      <c r="P43" s="2"/>
    </row>
    <row r="44" spans="1:16" x14ac:dyDescent="0.35">
      <c r="A44" s="11" t="s">
        <v>86</v>
      </c>
      <c r="B44" s="17"/>
      <c r="C44" s="2"/>
      <c r="D44" s="2"/>
      <c r="E44" s="2"/>
      <c r="F44" s="2"/>
      <c r="G44" s="2"/>
      <c r="H44" s="2"/>
      <c r="I44" s="2"/>
      <c r="J44" s="2"/>
      <c r="K44" s="2"/>
      <c r="L44" s="2"/>
      <c r="M44" s="2"/>
      <c r="N44" s="2"/>
      <c r="O44" s="2"/>
      <c r="P44" s="2"/>
    </row>
    <row r="45" spans="1:16" x14ac:dyDescent="0.35">
      <c r="A45" s="11" t="s">
        <v>87</v>
      </c>
      <c r="B45" s="17"/>
      <c r="C45" s="2"/>
      <c r="D45" s="2"/>
      <c r="E45" s="2"/>
      <c r="F45" s="2"/>
      <c r="G45" s="2"/>
      <c r="H45" s="2"/>
      <c r="I45" s="2"/>
      <c r="J45" s="2"/>
      <c r="K45" s="2"/>
      <c r="L45" s="2"/>
      <c r="M45" s="2"/>
      <c r="N45" s="2"/>
      <c r="O45" s="2"/>
      <c r="P45" s="2"/>
    </row>
    <row r="46" spans="1:16" x14ac:dyDescent="0.35">
      <c r="A46" s="11" t="s">
        <v>28</v>
      </c>
      <c r="B46" s="17"/>
      <c r="C46" s="2"/>
      <c r="D46" s="2"/>
      <c r="E46" s="2"/>
      <c r="F46" s="2"/>
      <c r="G46" s="2"/>
      <c r="H46" s="2"/>
      <c r="I46" s="2"/>
      <c r="J46" s="2"/>
      <c r="K46" s="2"/>
      <c r="L46" s="2"/>
      <c r="M46" s="2"/>
      <c r="N46" s="2"/>
      <c r="O46" s="2"/>
      <c r="P46" s="2"/>
    </row>
    <row r="47" spans="1:16" x14ac:dyDescent="0.35">
      <c r="A47" s="25" t="s">
        <v>88</v>
      </c>
      <c r="B47" s="17"/>
      <c r="C47" s="2"/>
      <c r="D47" s="2"/>
      <c r="E47" s="2"/>
      <c r="F47" s="2"/>
      <c r="G47" s="2"/>
      <c r="H47" s="2"/>
      <c r="I47" s="2"/>
      <c r="J47" s="2"/>
      <c r="K47" s="2"/>
      <c r="L47" s="2"/>
      <c r="M47" s="2"/>
      <c r="N47" s="2"/>
      <c r="O47" s="2"/>
      <c r="P47" s="2"/>
    </row>
    <row r="48" spans="1:16" ht="17" x14ac:dyDescent="0.6">
      <c r="A48" s="13" t="s">
        <v>90</v>
      </c>
      <c r="B48" s="19" t="s">
        <v>127</v>
      </c>
      <c r="C48" s="20">
        <f>SUM(B14:B47)</f>
        <v>0</v>
      </c>
      <c r="D48" s="2"/>
      <c r="E48" s="2"/>
      <c r="F48" s="2"/>
      <c r="G48" s="2"/>
      <c r="H48" s="2"/>
      <c r="I48" s="2"/>
      <c r="J48" s="2"/>
      <c r="K48" s="2"/>
      <c r="L48" s="2"/>
      <c r="M48" s="2"/>
      <c r="N48" s="2"/>
      <c r="O48" s="2"/>
      <c r="P48" s="2"/>
    </row>
    <row r="49" spans="1:16" x14ac:dyDescent="0.35">
      <c r="A49" s="2"/>
      <c r="B49" s="6"/>
      <c r="C49" s="2"/>
      <c r="D49" s="2"/>
      <c r="E49" s="2"/>
      <c r="F49" s="2"/>
      <c r="G49" s="2"/>
      <c r="H49" s="2"/>
      <c r="I49" s="2"/>
      <c r="J49" s="2"/>
      <c r="K49" s="2"/>
      <c r="L49" s="2"/>
      <c r="M49" s="2"/>
      <c r="N49" s="2"/>
      <c r="O49" s="2"/>
      <c r="P49" s="2"/>
    </row>
    <row r="50" spans="1:16" ht="15" thickBot="1" x14ac:dyDescent="0.4">
      <c r="A50" s="18" t="s">
        <v>189</v>
      </c>
      <c r="B50" s="4"/>
      <c r="C50" s="21">
        <f>SUM(C4+C11-C48)</f>
        <v>28135.629999999997</v>
      </c>
    </row>
    <row r="51" spans="1:16" ht="15" thickTop="1" x14ac:dyDescent="0.35"/>
    <row r="54" spans="1:16" x14ac:dyDescent="0.35">
      <c r="C54" s="157"/>
    </row>
  </sheetData>
  <pageMargins left="0.7" right="0.7" top="0.75" bottom="0.75" header="0.3" footer="0.3"/>
  <pageSetup scale="81"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999A2-0D69-4F5B-8AF7-A668F924324C}">
  <sheetPr>
    <tabColor rgb="FFFF0000"/>
    <pageSetUpPr fitToPage="1"/>
  </sheetPr>
  <dimension ref="A1:T47"/>
  <sheetViews>
    <sheetView zoomScaleNormal="100" workbookViewId="0">
      <pane xSplit="1" ySplit="3" topLeftCell="B33" activePane="bottomRight" state="frozen"/>
      <selection pane="topRight" activeCell="H28" sqref="H28"/>
      <selection pane="bottomLeft" activeCell="H28" sqref="H28"/>
      <selection pane="bottomRight" activeCell="C1" sqref="C1"/>
    </sheetView>
  </sheetViews>
  <sheetFormatPr defaultRowHeight="14.5" x14ac:dyDescent="0.35"/>
  <cols>
    <col min="1" max="1" width="35.26953125" bestFit="1" customWidth="1"/>
    <col min="2" max="2" width="13.26953125" bestFit="1" customWidth="1"/>
    <col min="3" max="3" width="10.26953125" bestFit="1" customWidth="1"/>
    <col min="4" max="4" width="14.26953125" bestFit="1" customWidth="1"/>
    <col min="5" max="5" width="10.54296875" bestFit="1" customWidth="1"/>
    <col min="6" max="6" width="9.1796875" bestFit="1" customWidth="1"/>
    <col min="7" max="8" width="10.54296875" bestFit="1" customWidth="1"/>
    <col min="9" max="9" width="10.26953125" bestFit="1" customWidth="1"/>
    <col min="10" max="10" width="10.81640625" bestFit="1" customWidth="1"/>
    <col min="11" max="11" width="9.1796875" bestFit="1" customWidth="1"/>
    <col min="13" max="13" width="9.1796875" bestFit="1" customWidth="1"/>
    <col min="14" max="14" width="10.26953125" bestFit="1" customWidth="1"/>
    <col min="16" max="16" width="9.81640625" customWidth="1"/>
    <col min="19" max="19" width="9.54296875" bestFit="1" customWidth="1"/>
  </cols>
  <sheetData>
    <row r="1" spans="1:20" ht="24" thickBot="1" x14ac:dyDescent="0.6">
      <c r="A1" s="127" t="str">
        <f>+'INCOME-p1'!A1</f>
        <v>As of 10/31/2024</v>
      </c>
      <c r="D1" s="246"/>
      <c r="P1" s="173" t="s">
        <v>55</v>
      </c>
    </row>
    <row r="2" spans="1:20" ht="15" thickBot="1" x14ac:dyDescent="0.4">
      <c r="A2" s="250" t="s">
        <v>155</v>
      </c>
      <c r="B2" s="252">
        <v>2024</v>
      </c>
      <c r="C2" s="247"/>
      <c r="D2" s="247"/>
      <c r="E2" s="247"/>
      <c r="F2" s="247"/>
      <c r="G2" s="247"/>
      <c r="H2" s="247"/>
      <c r="I2" s="247"/>
      <c r="J2" s="247"/>
      <c r="K2" s="247"/>
      <c r="L2" s="247"/>
      <c r="M2" s="247"/>
      <c r="N2" s="247"/>
      <c r="O2" s="247"/>
      <c r="P2" s="253"/>
      <c r="Q2" s="50"/>
      <c r="R2" s="50"/>
      <c r="S2" s="50"/>
      <c r="T2" s="50"/>
    </row>
    <row r="3" spans="1:20" ht="26.5" thickBot="1" x14ac:dyDescent="0.4">
      <c r="A3" s="251"/>
      <c r="B3" s="92" t="s">
        <v>1</v>
      </c>
      <c r="C3" s="91" t="s">
        <v>2</v>
      </c>
      <c r="D3" s="116" t="s">
        <v>3</v>
      </c>
      <c r="E3" s="89" t="s">
        <v>4</v>
      </c>
      <c r="F3" s="88" t="s">
        <v>5</v>
      </c>
      <c r="G3" s="88" t="s">
        <v>6</v>
      </c>
      <c r="H3" s="88" t="s">
        <v>7</v>
      </c>
      <c r="I3" s="88" t="s">
        <v>8</v>
      </c>
      <c r="J3" s="88" t="s">
        <v>9</v>
      </c>
      <c r="K3" s="88" t="s">
        <v>10</v>
      </c>
      <c r="L3" s="88" t="s">
        <v>11</v>
      </c>
      <c r="M3" s="88" t="s">
        <v>12</v>
      </c>
      <c r="N3" s="88" t="s">
        <v>13</v>
      </c>
      <c r="O3" s="88" t="s">
        <v>14</v>
      </c>
      <c r="P3" s="88" t="s">
        <v>15</v>
      </c>
      <c r="Q3" s="50"/>
      <c r="R3" s="50"/>
      <c r="S3" s="50"/>
      <c r="T3" s="50"/>
    </row>
    <row r="4" spans="1:20" ht="15.5" x14ac:dyDescent="0.35">
      <c r="A4" s="115" t="s">
        <v>56</v>
      </c>
      <c r="B4" s="114"/>
      <c r="C4" s="113"/>
      <c r="D4" s="112"/>
      <c r="E4" s="50"/>
      <c r="F4" s="50"/>
      <c r="G4" s="50"/>
      <c r="H4" s="50"/>
      <c r="I4" s="50"/>
      <c r="J4" s="50"/>
      <c r="K4" s="50"/>
      <c r="L4" s="50"/>
      <c r="M4" s="50"/>
      <c r="N4" s="50"/>
      <c r="O4" s="50"/>
      <c r="P4" s="50"/>
      <c r="Q4" s="50"/>
      <c r="R4" s="50"/>
      <c r="S4" s="50"/>
      <c r="T4" s="50"/>
    </row>
    <row r="5" spans="1:20" x14ac:dyDescent="0.35">
      <c r="A5" s="25" t="s">
        <v>57</v>
      </c>
      <c r="B5" s="110">
        <v>2000</v>
      </c>
      <c r="C5" s="62">
        <f>SUM(E5:P5)</f>
        <v>1185.51</v>
      </c>
      <c r="D5" s="109">
        <f t="shared" ref="D5:D32" si="0">SUM(B5-C5)</f>
        <v>814.49</v>
      </c>
      <c r="E5" s="108">
        <f>+'January 2024'!B14</f>
        <v>0</v>
      </c>
      <c r="F5" s="107">
        <f>+'February 2024'!B14</f>
        <v>0</v>
      </c>
      <c r="G5" s="107">
        <f>+'March 2024'!B14</f>
        <v>0</v>
      </c>
      <c r="H5" s="107">
        <f>+'April 2024'!B14</f>
        <v>0</v>
      </c>
      <c r="I5" s="107">
        <f>+'May 2024'!B14</f>
        <v>0</v>
      </c>
      <c r="J5" s="107">
        <f>+'June 2024'!B14</f>
        <v>645.5</v>
      </c>
      <c r="K5" s="107">
        <f>+'Jul 2024'!B14</f>
        <v>68.47999999999999</v>
      </c>
      <c r="L5" s="107">
        <f>+'Aug 2024'!B14</f>
        <v>0</v>
      </c>
      <c r="M5" s="107">
        <f>+'Sept 2024 p5'!B14</f>
        <v>471.53</v>
      </c>
      <c r="N5" s="107">
        <f>+'October 2024 p6'!B14</f>
        <v>0</v>
      </c>
      <c r="O5" s="107">
        <f>+'November 2024'!B14</f>
        <v>0</v>
      </c>
      <c r="P5" s="107">
        <f>+'December 2024'!B14</f>
        <v>0</v>
      </c>
      <c r="R5" s="36"/>
      <c r="S5" s="36"/>
      <c r="T5" s="36"/>
    </row>
    <row r="6" spans="1:20" x14ac:dyDescent="0.35">
      <c r="A6" s="25" t="s">
        <v>58</v>
      </c>
      <c r="B6" s="110">
        <v>50</v>
      </c>
      <c r="C6" s="62">
        <f t="shared" ref="C6:C31" si="1">SUM(E6:P6)</f>
        <v>0</v>
      </c>
      <c r="D6" s="109">
        <f t="shared" si="0"/>
        <v>50</v>
      </c>
      <c r="E6" s="108">
        <f>+'January 2024'!B15</f>
        <v>0</v>
      </c>
      <c r="F6" s="107">
        <f>+'February 2024'!B15</f>
        <v>0</v>
      </c>
      <c r="G6" s="107">
        <f>+'March 2024'!B15</f>
        <v>0</v>
      </c>
      <c r="H6" s="107">
        <f>+'April 2024'!B15</f>
        <v>0</v>
      </c>
      <c r="I6" s="107">
        <f>+'May 2024'!B15</f>
        <v>0</v>
      </c>
      <c r="J6" s="107">
        <f>+'June 2024'!B15</f>
        <v>0</v>
      </c>
      <c r="K6" s="107">
        <f>+'Jul 2024'!B15</f>
        <v>0</v>
      </c>
      <c r="L6" s="107">
        <f>+'Aug 2024'!B15</f>
        <v>0</v>
      </c>
      <c r="M6" s="107">
        <f>+'Sept 2024 p5'!B15</f>
        <v>0</v>
      </c>
      <c r="N6" s="107">
        <f>+'October 2024 p6'!B15</f>
        <v>0</v>
      </c>
      <c r="O6" s="107">
        <f>+'November 2024'!B15</f>
        <v>0</v>
      </c>
      <c r="P6" s="107">
        <f>+'December 2024'!B15</f>
        <v>0</v>
      </c>
    </row>
    <row r="7" spans="1:20" x14ac:dyDescent="0.35">
      <c r="A7" s="25" t="s">
        <v>59</v>
      </c>
      <c r="B7" s="110">
        <v>1800</v>
      </c>
      <c r="C7" s="62">
        <f t="shared" si="1"/>
        <v>739.55</v>
      </c>
      <c r="D7" s="109">
        <f t="shared" si="0"/>
        <v>1060.45</v>
      </c>
      <c r="E7" s="108">
        <f>+'January 2024'!B16</f>
        <v>0</v>
      </c>
      <c r="F7" s="107">
        <f>+'February 2024'!B16</f>
        <v>18</v>
      </c>
      <c r="G7" s="107">
        <f>+'March 2024'!B16</f>
        <v>0</v>
      </c>
      <c r="H7" s="107">
        <f>+'April 2024'!B16</f>
        <v>505</v>
      </c>
      <c r="I7" s="107">
        <f>+'May 2024'!B16</f>
        <v>0</v>
      </c>
      <c r="J7" s="107">
        <f>+'June 2024'!B16</f>
        <v>0</v>
      </c>
      <c r="K7" s="107">
        <f>+'Jul 2024'!B16</f>
        <v>216.55</v>
      </c>
      <c r="L7" s="107">
        <f>+'Aug 2024'!B16</f>
        <v>0</v>
      </c>
      <c r="M7" s="107">
        <f>+'Sept 2024 p5'!B16</f>
        <v>0</v>
      </c>
      <c r="N7" s="107">
        <f>+'October 2024 p6'!B16</f>
        <v>0</v>
      </c>
      <c r="O7" s="107">
        <f>+'November 2024'!B16</f>
        <v>0</v>
      </c>
      <c r="P7" s="107">
        <f>+'December 2024'!B16</f>
        <v>0</v>
      </c>
    </row>
    <row r="8" spans="1:20" x14ac:dyDescent="0.35">
      <c r="A8" s="25" t="s">
        <v>60</v>
      </c>
      <c r="B8" s="110">
        <v>200</v>
      </c>
      <c r="C8" s="62">
        <f t="shared" si="1"/>
        <v>185.93</v>
      </c>
      <c r="D8" s="109">
        <f t="shared" si="0"/>
        <v>14.069999999999993</v>
      </c>
      <c r="E8" s="108">
        <f>+'January 2024'!B17</f>
        <v>0</v>
      </c>
      <c r="F8" s="107">
        <f>+'February 2024'!B17</f>
        <v>0</v>
      </c>
      <c r="G8" s="107">
        <f>+'March 2024'!B17</f>
        <v>0</v>
      </c>
      <c r="H8" s="107">
        <f>+'April 2024'!B17</f>
        <v>0</v>
      </c>
      <c r="I8" s="107">
        <f>+'May 2024'!B17</f>
        <v>0</v>
      </c>
      <c r="J8" s="107">
        <f>+'June 2024'!B17</f>
        <v>0</v>
      </c>
      <c r="K8" s="107">
        <f>+'Jul 2024'!B17</f>
        <v>29.78</v>
      </c>
      <c r="L8" s="107">
        <f>+'Aug 2024'!B17</f>
        <v>0</v>
      </c>
      <c r="M8" s="107">
        <f>+'Sept 2024 p5'!B17</f>
        <v>156.15</v>
      </c>
      <c r="N8" s="107">
        <f>+'October 2024 p6'!B17</f>
        <v>0</v>
      </c>
      <c r="O8" s="107">
        <f>+'November 2024'!B17</f>
        <v>0</v>
      </c>
      <c r="P8" s="107">
        <f>+'December 2024'!B17</f>
        <v>0</v>
      </c>
    </row>
    <row r="9" spans="1:20" x14ac:dyDescent="0.35">
      <c r="A9" s="25" t="s">
        <v>61</v>
      </c>
      <c r="B9" s="110">
        <v>500</v>
      </c>
      <c r="C9" s="62">
        <f t="shared" si="1"/>
        <v>258.96000000000004</v>
      </c>
      <c r="D9" s="109">
        <f t="shared" si="0"/>
        <v>241.03999999999996</v>
      </c>
      <c r="E9" s="108">
        <f>+'January 2024'!B18</f>
        <v>29.13</v>
      </c>
      <c r="F9" s="107">
        <f>+'February 2024'!B18</f>
        <v>27.3</v>
      </c>
      <c r="G9" s="107">
        <f>+'March 2024'!B18</f>
        <v>27.85</v>
      </c>
      <c r="H9" s="107">
        <f>+'April 2024'!B18</f>
        <v>22.88</v>
      </c>
      <c r="I9" s="107">
        <f>+'May 2024'!B18</f>
        <v>30.18</v>
      </c>
      <c r="J9" s="107">
        <f>+'June 2024'!B18</f>
        <v>21.53</v>
      </c>
      <c r="K9" s="107">
        <f>+'Jul 2024'!B18</f>
        <v>29.86</v>
      </c>
      <c r="L9" s="107">
        <f>+'Aug 2024'!B18</f>
        <v>21.65</v>
      </c>
      <c r="M9" s="107">
        <f>+'Sept 2024 p5'!B18</f>
        <v>21.46</v>
      </c>
      <c r="N9" s="107">
        <f>+'October 2024 p6'!B18</f>
        <v>27.12</v>
      </c>
      <c r="O9" s="107">
        <f>+'November 2024'!B18</f>
        <v>0</v>
      </c>
      <c r="P9" s="107">
        <f>+'December 2024'!B18</f>
        <v>0</v>
      </c>
      <c r="R9" s="36"/>
    </row>
    <row r="10" spans="1:20" x14ac:dyDescent="0.35">
      <c r="A10" s="25" t="s">
        <v>62</v>
      </c>
      <c r="B10" s="110">
        <v>200</v>
      </c>
      <c r="C10" s="62">
        <f t="shared" si="1"/>
        <v>179</v>
      </c>
      <c r="D10" s="109">
        <f t="shared" si="0"/>
        <v>21</v>
      </c>
      <c r="E10" s="108">
        <f>+'January 2024'!B19</f>
        <v>0</v>
      </c>
      <c r="F10" s="107">
        <f>+'February 2024'!B19</f>
        <v>0</v>
      </c>
      <c r="G10" s="107">
        <f>+'March 2024'!B19</f>
        <v>0</v>
      </c>
      <c r="H10" s="107">
        <f>+'April 2024'!B19</f>
        <v>0</v>
      </c>
      <c r="I10" s="107">
        <f>+'May 2024'!B19</f>
        <v>98.21</v>
      </c>
      <c r="J10" s="107">
        <f>+'June 2024'!B19</f>
        <v>0</v>
      </c>
      <c r="K10" s="107">
        <f>+'Jul 2024'!B19</f>
        <v>80.790000000000006</v>
      </c>
      <c r="L10" s="107">
        <f>+'Aug 2024'!B19</f>
        <v>0</v>
      </c>
      <c r="M10" s="107">
        <f>+'Sept 2024 p5'!B19</f>
        <v>0</v>
      </c>
      <c r="N10" s="107">
        <f>+'October 2024 p6'!B19</f>
        <v>0</v>
      </c>
      <c r="O10" s="107">
        <f>+'November 2024'!B19</f>
        <v>0</v>
      </c>
      <c r="P10" s="107">
        <f>+'December 2024'!B19</f>
        <v>0</v>
      </c>
    </row>
    <row r="11" spans="1:20" x14ac:dyDescent="0.35">
      <c r="A11" s="25" t="s">
        <v>63</v>
      </c>
      <c r="B11" s="110">
        <v>600</v>
      </c>
      <c r="C11" s="62">
        <f t="shared" si="1"/>
        <v>345.05</v>
      </c>
      <c r="D11" s="109">
        <f t="shared" si="0"/>
        <v>254.95</v>
      </c>
      <c r="E11" s="108">
        <f>+'January 2024'!B20</f>
        <v>0</v>
      </c>
      <c r="F11" s="107">
        <f>+'February 2024'!B20</f>
        <v>195.05</v>
      </c>
      <c r="G11" s="107">
        <f>+'March 2024'!B20</f>
        <v>100</v>
      </c>
      <c r="H11" s="107">
        <f>+'April 2024'!B20</f>
        <v>0</v>
      </c>
      <c r="I11" s="107">
        <f>+'May 2024'!B20</f>
        <v>0</v>
      </c>
      <c r="J11" s="107">
        <f>+'June 2024'!B20</f>
        <v>0</v>
      </c>
      <c r="K11" s="107">
        <f>+'Jul 2024'!B20</f>
        <v>0</v>
      </c>
      <c r="L11" s="107">
        <f>+'Aug 2024'!B20</f>
        <v>0</v>
      </c>
      <c r="M11" s="107">
        <f>+'Sept 2024 p5'!B20</f>
        <v>50</v>
      </c>
      <c r="N11" s="107">
        <f>+'October 2024 p6'!B20</f>
        <v>0</v>
      </c>
      <c r="O11" s="107">
        <f>+'November 2024'!B20</f>
        <v>0</v>
      </c>
      <c r="P11" s="107">
        <f>+'December 2024'!B20</f>
        <v>0</v>
      </c>
      <c r="Q11" s="119" t="s">
        <v>23</v>
      </c>
    </row>
    <row r="12" spans="1:20" x14ac:dyDescent="0.35">
      <c r="A12" s="25" t="s">
        <v>64</v>
      </c>
      <c r="B12" s="110">
        <v>1800</v>
      </c>
      <c r="C12" s="62">
        <f t="shared" si="1"/>
        <v>1579.03</v>
      </c>
      <c r="D12" s="109">
        <f t="shared" si="0"/>
        <v>220.97000000000003</v>
      </c>
      <c r="E12" s="108">
        <f>+'January 2024'!B21</f>
        <v>0</v>
      </c>
      <c r="F12" s="107">
        <f>+'February 2024'!B21</f>
        <v>0</v>
      </c>
      <c r="G12" s="107">
        <f>+'March 2024'!B21</f>
        <v>0</v>
      </c>
      <c r="H12" s="107">
        <f>+'April 2024'!B21</f>
        <v>50</v>
      </c>
      <c r="I12" s="107">
        <f>+'May 2024'!B21</f>
        <v>1250</v>
      </c>
      <c r="J12" s="107">
        <f>+'June 2024'!B21</f>
        <v>0</v>
      </c>
      <c r="K12" s="107">
        <f>+'Jul 2024'!B21</f>
        <v>270.52999999999997</v>
      </c>
      <c r="L12" s="107">
        <f>+'Aug 2024'!B21</f>
        <v>8.5</v>
      </c>
      <c r="M12" s="107">
        <f>+'Sept 2024 p5'!B21</f>
        <v>0</v>
      </c>
      <c r="N12" s="107">
        <f>+'October 2024 p6'!B21</f>
        <v>0</v>
      </c>
      <c r="O12" s="107">
        <f>+'November 2024'!B21</f>
        <v>0</v>
      </c>
      <c r="P12" s="107">
        <f>+'December 2024'!B21</f>
        <v>0</v>
      </c>
    </row>
    <row r="13" spans="1:20" x14ac:dyDescent="0.35">
      <c r="A13" s="25" t="s">
        <v>65</v>
      </c>
      <c r="B13" s="110">
        <v>12000</v>
      </c>
      <c r="C13" s="62">
        <f t="shared" si="1"/>
        <v>9000</v>
      </c>
      <c r="D13" s="109">
        <f t="shared" si="0"/>
        <v>3000</v>
      </c>
      <c r="E13" s="108">
        <f>+'January 2024'!B22</f>
        <v>0</v>
      </c>
      <c r="F13" s="107">
        <f>+'February 2024'!B22</f>
        <v>0</v>
      </c>
      <c r="G13" s="107">
        <f>+'March 2024'!B22</f>
        <v>3000</v>
      </c>
      <c r="H13" s="107">
        <f>+'April 2024'!B22</f>
        <v>0</v>
      </c>
      <c r="I13" s="107">
        <f>+'May 2024'!B22</f>
        <v>0</v>
      </c>
      <c r="J13" s="107">
        <f>+'June 2024'!B22</f>
        <v>3000</v>
      </c>
      <c r="K13" s="107">
        <f>+'Jul 2024'!B22</f>
        <v>0</v>
      </c>
      <c r="L13" s="107">
        <f>+'Aug 2024'!B22</f>
        <v>0</v>
      </c>
      <c r="M13" s="107">
        <f>+'Sept 2024 p5'!B22</f>
        <v>0</v>
      </c>
      <c r="N13" s="107">
        <f>+'October 2024 p6'!B22</f>
        <v>3000</v>
      </c>
      <c r="O13" s="107">
        <f>+'November 2024'!B22</f>
        <v>0</v>
      </c>
      <c r="P13" s="107">
        <f>+'December 2024'!B22</f>
        <v>0</v>
      </c>
    </row>
    <row r="14" spans="1:20" x14ac:dyDescent="0.35">
      <c r="A14" s="25" t="s">
        <v>66</v>
      </c>
      <c r="B14" s="110">
        <v>150</v>
      </c>
      <c r="C14" s="62">
        <f t="shared" si="1"/>
        <v>0</v>
      </c>
      <c r="D14" s="109">
        <f t="shared" si="0"/>
        <v>150</v>
      </c>
      <c r="E14" s="108">
        <f>+'January 2024'!B23</f>
        <v>0</v>
      </c>
      <c r="F14" s="107">
        <f>+'February 2024'!B23</f>
        <v>0</v>
      </c>
      <c r="G14" s="107">
        <f>+'March 2024'!B23</f>
        <v>0</v>
      </c>
      <c r="H14" s="107">
        <f>+'April 2024'!B23</f>
        <v>0</v>
      </c>
      <c r="I14" s="107">
        <f>+'May 2024'!B23</f>
        <v>0</v>
      </c>
      <c r="J14" s="107">
        <f>+'June 2024'!B23</f>
        <v>0</v>
      </c>
      <c r="K14" s="107">
        <f>+'Jul 2024'!B23</f>
        <v>0</v>
      </c>
      <c r="L14" s="107">
        <f>+'Aug 2024'!B23</f>
        <v>0</v>
      </c>
      <c r="M14" s="107">
        <f>+'Sept 2024 p5'!B23</f>
        <v>0</v>
      </c>
      <c r="N14" s="107">
        <f>+'October 2024 p6'!B23</f>
        <v>0</v>
      </c>
      <c r="O14" s="107">
        <f>+'November 2024'!B23</f>
        <v>0</v>
      </c>
      <c r="P14" s="107">
        <f>+'December 2024'!B23</f>
        <v>0</v>
      </c>
    </row>
    <row r="15" spans="1:20" x14ac:dyDescent="0.35">
      <c r="A15" s="25" t="s">
        <v>67</v>
      </c>
      <c r="B15" s="110">
        <v>1200</v>
      </c>
      <c r="C15" s="62">
        <f t="shared" si="1"/>
        <v>1320.1799999999998</v>
      </c>
      <c r="D15" s="109">
        <f t="shared" si="0"/>
        <v>-120.17999999999984</v>
      </c>
      <c r="E15" s="108">
        <f>+'January 2024'!B24</f>
        <v>469.72</v>
      </c>
      <c r="F15" s="107">
        <f>+'February 2024'!B24</f>
        <v>310.8</v>
      </c>
      <c r="G15" s="107">
        <f>+'March 2024'!B24</f>
        <v>0</v>
      </c>
      <c r="H15" s="107">
        <f>+'April 2024'!B24</f>
        <v>0</v>
      </c>
      <c r="I15" s="107">
        <f>+'May 2024'!B24</f>
        <v>238.66</v>
      </c>
      <c r="J15" s="107">
        <f>+'June 2024'!B24</f>
        <v>44</v>
      </c>
      <c r="K15" s="107">
        <f>+'Jul 2024'!B24</f>
        <v>0</v>
      </c>
      <c r="L15" s="107">
        <f>+'Aug 2024'!B24</f>
        <v>0</v>
      </c>
      <c r="M15" s="107">
        <f>+'Sept 2024 p5'!B24</f>
        <v>0</v>
      </c>
      <c r="N15" s="107">
        <f>+'October 2024 p6'!B24</f>
        <v>257</v>
      </c>
      <c r="O15" s="107">
        <f>+'November 2024'!B24</f>
        <v>0</v>
      </c>
      <c r="P15" s="107">
        <f>+'December 2024'!B24</f>
        <v>0</v>
      </c>
    </row>
    <row r="16" spans="1:20" x14ac:dyDescent="0.35">
      <c r="A16" s="25" t="s">
        <v>68</v>
      </c>
      <c r="B16" s="110">
        <v>50</v>
      </c>
      <c r="C16" s="62">
        <f t="shared" si="1"/>
        <v>0</v>
      </c>
      <c r="D16" s="109">
        <f t="shared" si="0"/>
        <v>50</v>
      </c>
      <c r="E16" s="108">
        <f>+'January 2024'!B25</f>
        <v>0</v>
      </c>
      <c r="F16" s="107">
        <f>+'February 2024'!B25</f>
        <v>0</v>
      </c>
      <c r="G16" s="107">
        <f>+'March 2024'!B25</f>
        <v>0</v>
      </c>
      <c r="H16" s="107">
        <f>+'April 2024'!B25</f>
        <v>0</v>
      </c>
      <c r="I16" s="107">
        <f>+'May 2024'!B25</f>
        <v>0</v>
      </c>
      <c r="J16" s="107">
        <f>+'June 2024'!B25</f>
        <v>0</v>
      </c>
      <c r="K16" s="107">
        <f>+'Jul 2024'!B25</f>
        <v>0</v>
      </c>
      <c r="L16" s="107">
        <f>+'Aug 2024'!B25</f>
        <v>0</v>
      </c>
      <c r="M16" s="107">
        <f>+'Sept 2024 p5'!B25</f>
        <v>0</v>
      </c>
      <c r="N16" s="107">
        <f>+'October 2024 p6'!B25</f>
        <v>0</v>
      </c>
      <c r="O16" s="107">
        <f>+'November 2024'!B25</f>
        <v>0</v>
      </c>
      <c r="P16" s="107">
        <f>+'December 2024'!B25</f>
        <v>0</v>
      </c>
    </row>
    <row r="17" spans="1:19" x14ac:dyDescent="0.35">
      <c r="A17" s="25" t="s">
        <v>69</v>
      </c>
      <c r="B17" s="110">
        <v>3000</v>
      </c>
      <c r="C17" s="62">
        <f t="shared" si="1"/>
        <v>0</v>
      </c>
      <c r="D17" s="109">
        <f t="shared" si="0"/>
        <v>3000</v>
      </c>
      <c r="E17" s="108">
        <f>+'January 2024'!B26</f>
        <v>0</v>
      </c>
      <c r="F17" s="107">
        <f>+'February 2024'!B26</f>
        <v>0</v>
      </c>
      <c r="G17" s="107">
        <f>+'March 2024'!B26</f>
        <v>0</v>
      </c>
      <c r="H17" s="107">
        <f>+'April 2024'!B26</f>
        <v>0</v>
      </c>
      <c r="I17" s="107">
        <f>+'May 2024'!B26</f>
        <v>0</v>
      </c>
      <c r="J17" s="107">
        <f>+'June 2024'!B26</f>
        <v>0</v>
      </c>
      <c r="K17" s="107">
        <f>+'Jul 2024'!B26</f>
        <v>0</v>
      </c>
      <c r="L17" s="107">
        <f>+'Aug 2024'!B26</f>
        <v>0</v>
      </c>
      <c r="M17" s="107">
        <f>+'Sept 2024 p5'!B26</f>
        <v>0</v>
      </c>
      <c r="N17" s="107">
        <f>+'October 2024 p6'!B26</f>
        <v>0</v>
      </c>
      <c r="O17" s="107">
        <f>+'November 2024'!B26</f>
        <v>0</v>
      </c>
      <c r="P17" s="107">
        <f>+'December 2024'!B26</f>
        <v>0</v>
      </c>
    </row>
    <row r="18" spans="1:19" x14ac:dyDescent="0.35">
      <c r="A18" s="25" t="s">
        <v>70</v>
      </c>
      <c r="B18" s="110">
        <v>1500</v>
      </c>
      <c r="C18" s="62">
        <f t="shared" si="1"/>
        <v>0</v>
      </c>
      <c r="D18" s="109">
        <f t="shared" si="0"/>
        <v>1500</v>
      </c>
      <c r="E18" s="108">
        <f>+'January 2024'!B27</f>
        <v>0</v>
      </c>
      <c r="F18" s="107">
        <f>+'February 2024'!B27</f>
        <v>0</v>
      </c>
      <c r="G18" s="107">
        <f>+'March 2024'!B27</f>
        <v>0</v>
      </c>
      <c r="H18" s="107">
        <f>+'April 2024'!B27</f>
        <v>0</v>
      </c>
      <c r="I18" s="107">
        <f>+'May 2024'!B27</f>
        <v>0</v>
      </c>
      <c r="J18" s="107">
        <f>+'June 2024'!B27</f>
        <v>0</v>
      </c>
      <c r="K18" s="107">
        <f>+'Jul 2024'!B27</f>
        <v>0</v>
      </c>
      <c r="L18" s="107">
        <f>+'Aug 2024'!B27</f>
        <v>0</v>
      </c>
      <c r="M18" s="107">
        <f>+'Sept 2024 p5'!B27</f>
        <v>0</v>
      </c>
      <c r="N18" s="107">
        <f>+'October 2024 p6'!B27</f>
        <v>0</v>
      </c>
      <c r="O18" s="107">
        <f>+'November 2024'!B27</f>
        <v>0</v>
      </c>
      <c r="P18" s="107">
        <f>+'December 2024'!B27</f>
        <v>0</v>
      </c>
    </row>
    <row r="19" spans="1:19" x14ac:dyDescent="0.35">
      <c r="A19" s="25" t="s">
        <v>71</v>
      </c>
      <c r="B19" s="110">
        <v>0</v>
      </c>
      <c r="C19" s="62">
        <f t="shared" si="1"/>
        <v>0</v>
      </c>
      <c r="D19" s="109">
        <f t="shared" si="0"/>
        <v>0</v>
      </c>
      <c r="E19" s="108">
        <f>+'January 2024'!B28</f>
        <v>0</v>
      </c>
      <c r="F19" s="107">
        <f>+'February 2024'!B28</f>
        <v>0</v>
      </c>
      <c r="G19" s="107">
        <f>+'March 2024'!B28</f>
        <v>0</v>
      </c>
      <c r="H19" s="107">
        <f>+'April 2024'!B28</f>
        <v>0</v>
      </c>
      <c r="I19" s="107">
        <f>+'May 2024'!B28</f>
        <v>0</v>
      </c>
      <c r="J19" s="107">
        <f>+'June 2024'!B28</f>
        <v>0</v>
      </c>
      <c r="K19" s="107">
        <f>+'Jul 2024'!B28</f>
        <v>0</v>
      </c>
      <c r="L19" s="107">
        <f>+'Aug 2024'!B28</f>
        <v>0</v>
      </c>
      <c r="M19" s="107">
        <f>+'Sept 2024 p5'!B28</f>
        <v>0</v>
      </c>
      <c r="N19" s="107">
        <f>+'October 2024 p6'!B28</f>
        <v>0</v>
      </c>
      <c r="O19" s="107">
        <f>+'November 2024'!B28</f>
        <v>0</v>
      </c>
      <c r="P19" s="107">
        <f>+'December 2024'!B28</f>
        <v>0</v>
      </c>
    </row>
    <row r="20" spans="1:19" x14ac:dyDescent="0.35">
      <c r="A20" s="25" t="s">
        <v>72</v>
      </c>
      <c r="B20" s="110">
        <v>2000</v>
      </c>
      <c r="C20" s="62">
        <f t="shared" si="1"/>
        <v>2412</v>
      </c>
      <c r="D20" s="109">
        <f t="shared" si="0"/>
        <v>-412</v>
      </c>
      <c r="E20" s="108">
        <f>+'January 2024'!B29</f>
        <v>0</v>
      </c>
      <c r="F20" s="107">
        <f>+'February 2024'!B29</f>
        <v>0</v>
      </c>
      <c r="G20" s="107">
        <f>+'March 2024'!B29</f>
        <v>0</v>
      </c>
      <c r="H20" s="107">
        <f>+'April 2024'!B29</f>
        <v>0</v>
      </c>
      <c r="I20" s="107">
        <f>+'May 2024'!B29</f>
        <v>0</v>
      </c>
      <c r="J20" s="107">
        <f>+'June 2024'!B29</f>
        <v>0</v>
      </c>
      <c r="K20" s="107">
        <f>+'Jul 2024'!B29</f>
        <v>0</v>
      </c>
      <c r="L20" s="107">
        <f>+'Aug 2024'!B29</f>
        <v>0</v>
      </c>
      <c r="M20" s="107">
        <f>+'Sept 2024 p5'!B29</f>
        <v>0</v>
      </c>
      <c r="N20" s="107">
        <f>+'October 2024 p6'!B29</f>
        <v>2412</v>
      </c>
      <c r="O20" s="107">
        <f>+'November 2024'!B29</f>
        <v>0</v>
      </c>
      <c r="P20" s="107">
        <f>+'December 2024'!B29</f>
        <v>0</v>
      </c>
    </row>
    <row r="21" spans="1:19" x14ac:dyDescent="0.35">
      <c r="A21" s="11" t="s">
        <v>73</v>
      </c>
      <c r="B21" s="110">
        <v>500</v>
      </c>
      <c r="C21" s="62">
        <f t="shared" si="1"/>
        <v>13</v>
      </c>
      <c r="D21" s="109">
        <f t="shared" si="0"/>
        <v>487</v>
      </c>
      <c r="E21" s="108">
        <f>+'January 2024'!B30</f>
        <v>0</v>
      </c>
      <c r="F21" s="107">
        <f>+'February 2024'!B30</f>
        <v>0</v>
      </c>
      <c r="G21" s="107">
        <f>+'March 2024'!B30</f>
        <v>0</v>
      </c>
      <c r="H21" s="107">
        <f>+'April 2024'!B30</f>
        <v>0</v>
      </c>
      <c r="I21" s="107">
        <f>+'May 2024'!B30</f>
        <v>0</v>
      </c>
      <c r="J21" s="107">
        <f>+'June 2024'!B30</f>
        <v>0</v>
      </c>
      <c r="K21" s="107">
        <f>+'Jul 2024'!B30</f>
        <v>13</v>
      </c>
      <c r="L21" s="107">
        <f>+'Aug 2024'!B30</f>
        <v>0</v>
      </c>
      <c r="M21" s="107">
        <f>+'Sept 2024 p5'!B30</f>
        <v>0</v>
      </c>
      <c r="N21" s="107">
        <f>+'October 2024 p6'!B30</f>
        <v>0</v>
      </c>
      <c r="O21" s="107">
        <f>+'November 2024'!B30</f>
        <v>0</v>
      </c>
      <c r="P21" s="107">
        <f>+'December 2024'!B30</f>
        <v>0</v>
      </c>
    </row>
    <row r="22" spans="1:19" x14ac:dyDescent="0.35">
      <c r="A22" s="11" t="s">
        <v>74</v>
      </c>
      <c r="B22" s="110">
        <v>3000</v>
      </c>
      <c r="C22" s="62">
        <f t="shared" si="1"/>
        <v>526.20000000000005</v>
      </c>
      <c r="D22" s="109">
        <f t="shared" si="0"/>
        <v>2473.8000000000002</v>
      </c>
      <c r="E22" s="108">
        <f>+'January 2024'!B31</f>
        <v>0</v>
      </c>
      <c r="F22" s="107">
        <f>+'February 2024'!B31</f>
        <v>11.4</v>
      </c>
      <c r="G22" s="107">
        <f>+'March 2024'!B31</f>
        <v>26.4</v>
      </c>
      <c r="H22" s="107">
        <f>+'April 2024'!B31</f>
        <v>0</v>
      </c>
      <c r="I22" s="107">
        <f>+'May 2024'!B31</f>
        <v>57.599999999999994</v>
      </c>
      <c r="J22" s="107">
        <f>+'June 2024'!B31</f>
        <v>45.6</v>
      </c>
      <c r="K22" s="107">
        <f>+'Jul 2024'!B31</f>
        <v>77.400000000000006</v>
      </c>
      <c r="L22" s="107">
        <f>+'Aug 2024'!B31</f>
        <v>0</v>
      </c>
      <c r="M22" s="107">
        <f>+'Mileage-p4'!K19</f>
        <v>307.8</v>
      </c>
      <c r="N22" s="107">
        <f>+'October 2024 p6'!B31</f>
        <v>0</v>
      </c>
      <c r="O22" s="107">
        <f>+'November 2024'!B31</f>
        <v>0</v>
      </c>
      <c r="P22" s="107">
        <f>+'December 2024'!B31</f>
        <v>0</v>
      </c>
    </row>
    <row r="23" spans="1:19" x14ac:dyDescent="0.35">
      <c r="A23" s="25" t="s">
        <v>75</v>
      </c>
      <c r="B23" s="110">
        <v>100</v>
      </c>
      <c r="C23" s="62">
        <f t="shared" si="1"/>
        <v>98.78</v>
      </c>
      <c r="D23" s="109">
        <f t="shared" si="0"/>
        <v>1.2199999999999989</v>
      </c>
      <c r="E23" s="108">
        <f>+'January 2024'!B32</f>
        <v>0</v>
      </c>
      <c r="F23" s="107">
        <f>+'February 2024'!B32</f>
        <v>0</v>
      </c>
      <c r="G23" s="107">
        <f>+'March 2024'!B32</f>
        <v>0</v>
      </c>
      <c r="H23" s="107">
        <f>+'April 2024'!B32</f>
        <v>52.76</v>
      </c>
      <c r="I23" s="107">
        <f>+'May 2024'!B32</f>
        <v>27.259999999999998</v>
      </c>
      <c r="J23" s="107">
        <f>+'June 2024'!B32</f>
        <v>0</v>
      </c>
      <c r="K23" s="107">
        <f>+'Jul 2024'!B32</f>
        <v>-25.5</v>
      </c>
      <c r="L23" s="107">
        <f>+'Aug 2024'!B32</f>
        <v>44.26</v>
      </c>
      <c r="M23" s="107">
        <f>+'Sept 2024 p5'!B32</f>
        <v>0</v>
      </c>
      <c r="N23" s="107">
        <f>+'October 2024 p6'!B32</f>
        <v>0</v>
      </c>
      <c r="O23" s="107">
        <f>+'November 2024'!B32</f>
        <v>0</v>
      </c>
      <c r="P23" s="107">
        <f>+'December 2024'!B32</f>
        <v>0</v>
      </c>
    </row>
    <row r="24" spans="1:19" x14ac:dyDescent="0.35">
      <c r="A24" s="11" t="s">
        <v>76</v>
      </c>
      <c r="B24" s="110">
        <v>3900</v>
      </c>
      <c r="C24" s="62">
        <f t="shared" si="1"/>
        <v>1972.4</v>
      </c>
      <c r="D24" s="109">
        <f t="shared" si="0"/>
        <v>1927.6</v>
      </c>
      <c r="E24" s="108">
        <f>+'January 2024'!B33</f>
        <v>300</v>
      </c>
      <c r="F24" s="107">
        <f>+'February 2024'!B33</f>
        <v>600</v>
      </c>
      <c r="G24" s="107">
        <f>+'March 2024'!B33</f>
        <v>600</v>
      </c>
      <c r="H24" s="107">
        <f>+'April 2024'!B33</f>
        <v>472.4</v>
      </c>
      <c r="I24" s="107">
        <f>+'May 2024'!B33</f>
        <v>0</v>
      </c>
      <c r="J24" s="107">
        <f>+'June 2024'!B33</f>
        <v>0</v>
      </c>
      <c r="K24" s="107">
        <f>+'Jul 2024'!B33</f>
        <v>0</v>
      </c>
      <c r="L24" s="107">
        <f>+'Aug 2024'!B33</f>
        <v>0</v>
      </c>
      <c r="M24" s="107">
        <f>+'Sept 2024 p5'!B33</f>
        <v>0</v>
      </c>
      <c r="N24" s="107">
        <f>+'October 2024 p6'!B33</f>
        <v>0</v>
      </c>
      <c r="O24" s="107">
        <f>+'November 2024'!B33</f>
        <v>0</v>
      </c>
      <c r="P24" s="107">
        <f>+'December 2024'!B33</f>
        <v>0</v>
      </c>
    </row>
    <row r="25" spans="1:19" x14ac:dyDescent="0.35">
      <c r="A25" s="11" t="s">
        <v>77</v>
      </c>
      <c r="B25" s="110">
        <v>1500</v>
      </c>
      <c r="C25" s="62">
        <f t="shared" si="1"/>
        <v>1142</v>
      </c>
      <c r="D25" s="109">
        <f t="shared" si="0"/>
        <v>358</v>
      </c>
      <c r="E25" s="108">
        <f>+'January 2024'!B34</f>
        <v>0</v>
      </c>
      <c r="F25" s="107">
        <f>+'February 2024'!B34</f>
        <v>0</v>
      </c>
      <c r="G25" s="107">
        <f>+'March 2024'!B34</f>
        <v>0</v>
      </c>
      <c r="H25" s="107">
        <f>+'April 2024'!B34</f>
        <v>0</v>
      </c>
      <c r="I25" s="107">
        <f>+'May 2024'!B34</f>
        <v>110</v>
      </c>
      <c r="J25" s="107">
        <f>+'June 2024'!B34</f>
        <v>110</v>
      </c>
      <c r="K25" s="107">
        <f>+'Jul 2024'!B34</f>
        <v>0</v>
      </c>
      <c r="L25" s="107">
        <f>+'Aug 2024'!B34</f>
        <v>0</v>
      </c>
      <c r="M25" s="107">
        <f>+'Sept 2024 p5'!B34</f>
        <v>854</v>
      </c>
      <c r="N25" s="107">
        <f>+'October 2024 p6'!B34</f>
        <v>68</v>
      </c>
      <c r="O25" s="107">
        <f>+'November 2024'!B34</f>
        <v>0</v>
      </c>
      <c r="P25" s="107">
        <f>+'December 2024'!B34</f>
        <v>0</v>
      </c>
    </row>
    <row r="26" spans="1:19" x14ac:dyDescent="0.35">
      <c r="A26" s="25" t="s">
        <v>54</v>
      </c>
      <c r="B26" s="110">
        <v>6000</v>
      </c>
      <c r="C26" s="62">
        <f t="shared" si="1"/>
        <v>5030.1499999999996</v>
      </c>
      <c r="D26" s="109">
        <f t="shared" si="0"/>
        <v>969.85000000000036</v>
      </c>
      <c r="E26" s="108">
        <f>+'January 2024'!B35</f>
        <v>0</v>
      </c>
      <c r="F26" s="107">
        <f>+'February 2024'!B35</f>
        <v>0</v>
      </c>
      <c r="G26" s="107">
        <f>+'March 2024'!B35</f>
        <v>2179.1799999999998</v>
      </c>
      <c r="H26" s="107">
        <f>+'April 2024'!B35</f>
        <v>924.38</v>
      </c>
      <c r="I26" s="107">
        <f>+'May 2024'!B35</f>
        <v>0</v>
      </c>
      <c r="J26" s="107">
        <f>+'June 2024'!B35</f>
        <v>376.40999999999997</v>
      </c>
      <c r="K26" s="107">
        <f>+'Jul 2024'!B35</f>
        <v>190.12</v>
      </c>
      <c r="L26" s="107">
        <f>+'Aug 2024'!B35</f>
        <v>0</v>
      </c>
      <c r="M26" s="107">
        <f>+'Sept 2024 p5'!B35</f>
        <v>899.98</v>
      </c>
      <c r="N26" s="107">
        <f>+'October 2024 p6'!B35</f>
        <v>460.08000000000004</v>
      </c>
      <c r="O26" s="107">
        <f>+'November 2024'!B35</f>
        <v>0</v>
      </c>
      <c r="P26" s="107">
        <f>+'December 2024'!B35</f>
        <v>0</v>
      </c>
      <c r="R26" s="121"/>
      <c r="S26" s="37"/>
    </row>
    <row r="27" spans="1:19" x14ac:dyDescent="0.35">
      <c r="A27" s="25" t="s">
        <v>78</v>
      </c>
      <c r="B27" s="110">
        <v>75</v>
      </c>
      <c r="C27" s="62">
        <f t="shared" si="1"/>
        <v>0</v>
      </c>
      <c r="D27" s="109">
        <f t="shared" si="0"/>
        <v>75</v>
      </c>
      <c r="E27" s="108">
        <f>+'January 2024'!B36</f>
        <v>0</v>
      </c>
      <c r="F27" s="107">
        <f>+'February 2024'!B36</f>
        <v>0</v>
      </c>
      <c r="G27" s="107">
        <f>+'March 2024'!B36</f>
        <v>0</v>
      </c>
      <c r="H27" s="107">
        <f>+'April 2024'!B36</f>
        <v>0</v>
      </c>
      <c r="I27" s="107">
        <f>+'May 2024'!B36</f>
        <v>0</v>
      </c>
      <c r="J27" s="107">
        <f>+'June 2024'!B36</f>
        <v>0</v>
      </c>
      <c r="K27" s="107">
        <f>+'Jul 2024'!B36</f>
        <v>0</v>
      </c>
      <c r="L27" s="107">
        <f>+'Aug 2024'!B36</f>
        <v>0</v>
      </c>
      <c r="M27" s="107">
        <f>+'Sept 2024 p5'!B36</f>
        <v>0</v>
      </c>
      <c r="N27" s="107">
        <f>+'October 2024 p6'!B36</f>
        <v>0</v>
      </c>
      <c r="O27" s="107">
        <f>+'November 2024'!B36</f>
        <v>0</v>
      </c>
      <c r="P27" s="107">
        <f>+'December 2024'!B36</f>
        <v>0</v>
      </c>
    </row>
    <row r="28" spans="1:19" x14ac:dyDescent="0.35">
      <c r="A28" s="25" t="s">
        <v>79</v>
      </c>
      <c r="B28" s="110">
        <v>100</v>
      </c>
      <c r="C28" s="62">
        <f t="shared" si="1"/>
        <v>0</v>
      </c>
      <c r="D28" s="109">
        <f t="shared" si="0"/>
        <v>100</v>
      </c>
      <c r="E28" s="108">
        <f>+'January 2024'!B37</f>
        <v>0</v>
      </c>
      <c r="F28" s="107">
        <f>+'February 2024'!B37</f>
        <v>0</v>
      </c>
      <c r="G28" s="107">
        <f>+'March 2024'!B37</f>
        <v>0</v>
      </c>
      <c r="H28" s="107">
        <f>+'April 2024'!B37</f>
        <v>0</v>
      </c>
      <c r="I28" s="107">
        <f>+'May 2024'!B37</f>
        <v>0</v>
      </c>
      <c r="J28" s="107">
        <f>+'June 2024'!B37</f>
        <v>0</v>
      </c>
      <c r="K28" s="107">
        <f>+'Jul 2024'!B37</f>
        <v>0</v>
      </c>
      <c r="L28" s="107">
        <f>+'Aug 2024'!B37</f>
        <v>0</v>
      </c>
      <c r="M28" s="107">
        <f>+'Sept 2024 p5'!B37</f>
        <v>0</v>
      </c>
      <c r="N28" s="107">
        <f>+'October 2024 p6'!B37</f>
        <v>0</v>
      </c>
      <c r="O28" s="107">
        <f>+'November 2024'!B37</f>
        <v>0</v>
      </c>
      <c r="P28" s="107">
        <f>+'December 2024'!B37</f>
        <v>0</v>
      </c>
    </row>
    <row r="29" spans="1:19" x14ac:dyDescent="0.35">
      <c r="A29" s="25" t="s">
        <v>80</v>
      </c>
      <c r="B29" s="110">
        <v>500</v>
      </c>
      <c r="C29" s="62">
        <f t="shared" si="1"/>
        <v>0</v>
      </c>
      <c r="D29" s="109">
        <f t="shared" si="0"/>
        <v>500</v>
      </c>
      <c r="E29" s="108">
        <f>+'January 2024'!B38</f>
        <v>0</v>
      </c>
      <c r="F29" s="107">
        <f>+'February 2024'!B38</f>
        <v>0</v>
      </c>
      <c r="G29" s="107">
        <f>+'March 2024'!B38</f>
        <v>0</v>
      </c>
      <c r="H29" s="107">
        <f>+'April 2024'!B38</f>
        <v>0</v>
      </c>
      <c r="I29" s="107">
        <f>+'May 2024'!B38</f>
        <v>0</v>
      </c>
      <c r="J29" s="107">
        <f>+'June 2024'!B38</f>
        <v>0</v>
      </c>
      <c r="K29" s="107">
        <f>+'Jul 2024'!B38</f>
        <v>0</v>
      </c>
      <c r="L29" s="107">
        <f>+'Aug 2024'!B38</f>
        <v>0</v>
      </c>
      <c r="M29" s="107">
        <f>+'Sept 2024 p5'!B38</f>
        <v>0</v>
      </c>
      <c r="N29" s="107">
        <f>+'October 2024 p6'!B38</f>
        <v>0</v>
      </c>
      <c r="O29" s="107">
        <f>+'November 2024'!B38</f>
        <v>0</v>
      </c>
      <c r="P29" s="107">
        <f>+'December 2024'!B38</f>
        <v>0</v>
      </c>
    </row>
    <row r="30" spans="1:19" x14ac:dyDescent="0.35">
      <c r="A30" s="25" t="s">
        <v>81</v>
      </c>
      <c r="B30" s="110">
        <v>500</v>
      </c>
      <c r="C30" s="62">
        <f t="shared" si="1"/>
        <v>476.64</v>
      </c>
      <c r="D30" s="109">
        <f t="shared" si="0"/>
        <v>23.360000000000014</v>
      </c>
      <c r="E30" s="108">
        <f>+'January 2024'!B39</f>
        <v>249.6</v>
      </c>
      <c r="F30" s="107">
        <f>+'February 2024'!B39</f>
        <v>0</v>
      </c>
      <c r="G30" s="107">
        <f>+'March 2024'!B39</f>
        <v>0</v>
      </c>
      <c r="H30" s="107">
        <f>+'April 2024'!B39</f>
        <v>0</v>
      </c>
      <c r="I30" s="107">
        <f>+'May 2024'!B39</f>
        <v>0</v>
      </c>
      <c r="J30" s="107">
        <f>+'June 2024'!B39</f>
        <v>45.49</v>
      </c>
      <c r="K30" s="107">
        <f>+'Jul 2024'!B39</f>
        <v>0</v>
      </c>
      <c r="L30" s="107">
        <f>+'Aug 2024'!B39</f>
        <v>0</v>
      </c>
      <c r="M30" s="107">
        <f>+'Sept 2024 p5'!B39</f>
        <v>73</v>
      </c>
      <c r="N30" s="107">
        <f>+'October 2024 p6'!B39</f>
        <v>108.55000000000001</v>
      </c>
      <c r="O30" s="107">
        <f>+'November 2024'!B39</f>
        <v>0</v>
      </c>
      <c r="P30" s="107">
        <f>+'December 2024'!B39</f>
        <v>0</v>
      </c>
    </row>
    <row r="31" spans="1:19" x14ac:dyDescent="0.35">
      <c r="A31" s="25" t="s">
        <v>82</v>
      </c>
      <c r="B31" s="110">
        <v>500</v>
      </c>
      <c r="C31" s="62">
        <f t="shared" si="1"/>
        <v>0</v>
      </c>
      <c r="D31" s="109">
        <f t="shared" si="0"/>
        <v>500</v>
      </c>
      <c r="E31" s="108">
        <f>+'January 2024'!B40</f>
        <v>0</v>
      </c>
      <c r="F31" s="107">
        <f>+'February 2024'!B40</f>
        <v>0</v>
      </c>
      <c r="G31" s="107">
        <f>+'March 2024'!B40</f>
        <v>0</v>
      </c>
      <c r="H31" s="107">
        <f>+'April 2024'!B40</f>
        <v>0</v>
      </c>
      <c r="I31" s="107">
        <f>+'May 2024'!B40</f>
        <v>0</v>
      </c>
      <c r="J31" s="107">
        <f>+'June 2024'!B40</f>
        <v>0</v>
      </c>
      <c r="K31" s="107">
        <f>+'Jul 2024'!B40</f>
        <v>0</v>
      </c>
      <c r="L31" s="107">
        <f>+'Aug 2024'!B40</f>
        <v>0</v>
      </c>
      <c r="M31" s="107">
        <f>+'Sept 2024 p5'!B40</f>
        <v>0</v>
      </c>
      <c r="N31" s="107">
        <f>+'October 2024 p6'!B40</f>
        <v>0</v>
      </c>
      <c r="O31" s="107">
        <f>+'November 2024'!B40</f>
        <v>0</v>
      </c>
      <c r="P31" s="107">
        <f>+'December 2024'!B40</f>
        <v>0</v>
      </c>
    </row>
    <row r="32" spans="1:19" x14ac:dyDescent="0.35">
      <c r="A32" s="25" t="s">
        <v>83</v>
      </c>
      <c r="B32" s="110">
        <v>0</v>
      </c>
      <c r="C32" s="62">
        <f t="shared" ref="C32" si="2">SUM(E32:P32)</f>
        <v>0</v>
      </c>
      <c r="D32" s="109">
        <f t="shared" si="0"/>
        <v>0</v>
      </c>
      <c r="E32" s="108">
        <f>+'January 2024'!B41</f>
        <v>0</v>
      </c>
      <c r="F32" s="107">
        <f>+'February 2024'!B41</f>
        <v>0</v>
      </c>
      <c r="G32" s="107">
        <f>+'March 2024'!B41</f>
        <v>0</v>
      </c>
      <c r="H32" s="107">
        <f>+'April 2024'!B41</f>
        <v>0</v>
      </c>
      <c r="I32" s="107">
        <f>+'May 2024'!B41</f>
        <v>0</v>
      </c>
      <c r="J32" s="107">
        <f>+'June 2024'!B41</f>
        <v>0</v>
      </c>
      <c r="K32" s="107">
        <f>+'Jul 2024'!B41</f>
        <v>0</v>
      </c>
      <c r="L32" s="107">
        <f>+'Aug 2024'!B41</f>
        <v>0</v>
      </c>
      <c r="M32" s="107">
        <f>+'Sept 2024 p5'!B41</f>
        <v>0</v>
      </c>
      <c r="N32" s="107">
        <f>+'October 2024 p6'!B41</f>
        <v>0</v>
      </c>
      <c r="O32" s="107">
        <f>+'November 2024'!B41</f>
        <v>0</v>
      </c>
      <c r="P32" s="107">
        <f>+'December 2024'!B41</f>
        <v>0</v>
      </c>
    </row>
    <row r="33" spans="1:17" x14ac:dyDescent="0.35">
      <c r="A33" s="106" t="s">
        <v>84</v>
      </c>
      <c r="B33" s="105">
        <f t="shared" ref="B33:P33" si="3">SUM(B5:B32)</f>
        <v>43725</v>
      </c>
      <c r="C33" s="105">
        <f t="shared" si="3"/>
        <v>26464.379999999997</v>
      </c>
      <c r="D33" s="111">
        <f t="shared" si="3"/>
        <v>17260.620000000003</v>
      </c>
      <c r="E33" s="103">
        <f t="shared" si="3"/>
        <v>1048.45</v>
      </c>
      <c r="F33" s="103">
        <f t="shared" si="3"/>
        <v>1162.5500000000002</v>
      </c>
      <c r="G33" s="103">
        <f t="shared" si="3"/>
        <v>5933.43</v>
      </c>
      <c r="H33" s="103">
        <f t="shared" si="3"/>
        <v>2027.42</v>
      </c>
      <c r="I33" s="103">
        <f t="shared" si="3"/>
        <v>1811.9099999999999</v>
      </c>
      <c r="J33" s="103">
        <f t="shared" si="3"/>
        <v>4288.53</v>
      </c>
      <c r="K33" s="103">
        <f t="shared" si="3"/>
        <v>951.01</v>
      </c>
      <c r="L33" s="103">
        <f t="shared" si="3"/>
        <v>74.41</v>
      </c>
      <c r="M33" s="103">
        <f t="shared" si="3"/>
        <v>2833.92</v>
      </c>
      <c r="N33" s="103">
        <f t="shared" si="3"/>
        <v>6332.75</v>
      </c>
      <c r="O33" s="103">
        <f t="shared" si="3"/>
        <v>0</v>
      </c>
      <c r="P33" s="103">
        <f t="shared" si="3"/>
        <v>0</v>
      </c>
      <c r="Q33" s="120" t="s">
        <v>23</v>
      </c>
    </row>
    <row r="34" spans="1:17" x14ac:dyDescent="0.35">
      <c r="A34" s="81" t="s">
        <v>85</v>
      </c>
      <c r="B34" s="110"/>
      <c r="C34" s="62"/>
      <c r="D34" s="109"/>
      <c r="E34" s="108"/>
      <c r="F34" s="107"/>
      <c r="G34" s="107"/>
      <c r="H34" s="107"/>
      <c r="I34" s="107"/>
      <c r="J34" s="107"/>
      <c r="K34" s="107"/>
      <c r="L34" s="107"/>
      <c r="M34" s="107"/>
      <c r="N34" s="107"/>
      <c r="O34" s="107"/>
      <c r="P34" s="107"/>
    </row>
    <row r="35" spans="1:17" x14ac:dyDescent="0.35">
      <c r="A35" s="73" t="s">
        <v>25</v>
      </c>
      <c r="B35" s="110">
        <v>5000</v>
      </c>
      <c r="C35" s="62">
        <f>SUM(E35:P35)</f>
        <v>5000</v>
      </c>
      <c r="D35" s="109">
        <f>SUM(B35-C35)</f>
        <v>0</v>
      </c>
      <c r="E35" s="108"/>
      <c r="F35" s="107"/>
      <c r="G35" s="107"/>
      <c r="H35" s="107"/>
      <c r="I35" s="107"/>
      <c r="J35" s="107"/>
      <c r="K35" s="107">
        <f>+'Jul 2024'!B43</f>
        <v>5000</v>
      </c>
      <c r="L35" s="107"/>
      <c r="M35" s="107"/>
      <c r="N35" s="107"/>
      <c r="O35" s="107"/>
      <c r="P35" s="107" t="s">
        <v>23</v>
      </c>
    </row>
    <row r="36" spans="1:17" x14ac:dyDescent="0.35">
      <c r="A36" s="25" t="s">
        <v>86</v>
      </c>
      <c r="B36" s="110">
        <v>2000</v>
      </c>
      <c r="C36" s="62">
        <f t="shared" ref="C36:C39" si="4">SUM(E36:P36)</f>
        <v>3141.89</v>
      </c>
      <c r="D36" s="109">
        <f>SUM(B36-C36)</f>
        <v>-1141.8899999999999</v>
      </c>
      <c r="E36" s="108"/>
      <c r="F36" s="107"/>
      <c r="G36" s="107">
        <f>+'March 2024'!B44</f>
        <v>2958.75</v>
      </c>
      <c r="H36" s="107"/>
      <c r="I36" s="107"/>
      <c r="J36" s="107"/>
      <c r="K36" s="107"/>
      <c r="L36" s="107"/>
      <c r="M36" s="107">
        <f>+'Sept 2024 p5'!B44</f>
        <v>183.14</v>
      </c>
      <c r="N36" s="107"/>
      <c r="O36" s="107"/>
      <c r="P36" s="107"/>
    </row>
    <row r="37" spans="1:17" x14ac:dyDescent="0.35">
      <c r="A37" s="25" t="s">
        <v>87</v>
      </c>
      <c r="B37" s="110">
        <v>2000</v>
      </c>
      <c r="C37" s="62">
        <f t="shared" si="4"/>
        <v>3141.89</v>
      </c>
      <c r="D37" s="109">
        <f>SUM(B37-C37)</f>
        <v>-1141.8899999999999</v>
      </c>
      <c r="E37" s="108"/>
      <c r="F37" s="107"/>
      <c r="G37" s="107">
        <f>+'March 2024'!B45</f>
        <v>958.75</v>
      </c>
      <c r="H37" s="107"/>
      <c r="I37" s="107"/>
      <c r="J37" s="107"/>
      <c r="K37" s="107"/>
      <c r="L37" s="107"/>
      <c r="M37" s="107">
        <f>+'Sept 2024 p5'!B45</f>
        <v>183.14</v>
      </c>
      <c r="N37" s="107">
        <f>+'October 2024 p6'!B45</f>
        <v>2000</v>
      </c>
      <c r="O37" s="107"/>
      <c r="P37" s="107"/>
    </row>
    <row r="38" spans="1:17" x14ac:dyDescent="0.35">
      <c r="A38" s="25" t="s">
        <v>28</v>
      </c>
      <c r="B38" s="110">
        <v>2200</v>
      </c>
      <c r="C38" s="62">
        <f t="shared" si="4"/>
        <v>0</v>
      </c>
      <c r="D38" s="109">
        <f>SUM(B38-C38)</f>
        <v>2200</v>
      </c>
      <c r="E38" s="108"/>
      <c r="F38" s="107"/>
      <c r="G38" s="107"/>
      <c r="H38" s="107"/>
      <c r="I38" s="107"/>
      <c r="J38" s="107"/>
      <c r="K38" s="107"/>
      <c r="L38" s="107"/>
      <c r="M38" s="107"/>
      <c r="N38" s="107"/>
      <c r="O38" s="107"/>
      <c r="P38" s="107"/>
    </row>
    <row r="39" spans="1:17" x14ac:dyDescent="0.35">
      <c r="A39" s="25" t="s">
        <v>88</v>
      </c>
      <c r="B39" s="110">
        <v>2500</v>
      </c>
      <c r="C39" s="62">
        <f t="shared" si="4"/>
        <v>2500</v>
      </c>
      <c r="D39" s="109">
        <f>SUM(B39-C39)</f>
        <v>0</v>
      </c>
      <c r="E39" s="108"/>
      <c r="F39" s="107">
        <v>2500</v>
      </c>
      <c r="G39" s="107"/>
      <c r="H39" s="107"/>
      <c r="I39" s="107"/>
      <c r="J39" s="107"/>
      <c r="K39" s="107"/>
      <c r="L39" s="107"/>
      <c r="M39" s="107"/>
      <c r="N39" s="107"/>
      <c r="O39" s="107"/>
      <c r="P39" s="107"/>
    </row>
    <row r="40" spans="1:17" ht="15" thickBot="1" x14ac:dyDescent="0.4">
      <c r="A40" s="106" t="s">
        <v>89</v>
      </c>
      <c r="B40" s="105">
        <f>SUM(B35:B39)</f>
        <v>13700</v>
      </c>
      <c r="C40" s="105">
        <f>SUM(C35:C39)</f>
        <v>13783.779999999999</v>
      </c>
      <c r="D40" s="104">
        <f>SUM(D35:D39)</f>
        <v>-83.779999999999745</v>
      </c>
      <c r="E40" s="103">
        <f>SUM(E35:E39)</f>
        <v>0</v>
      </c>
      <c r="F40" s="103">
        <f t="shared" ref="F40:P40" si="5">SUM(F35:F39)</f>
        <v>2500</v>
      </c>
      <c r="G40" s="103">
        <f t="shared" si="5"/>
        <v>3917.5</v>
      </c>
      <c r="H40" s="103">
        <f t="shared" si="5"/>
        <v>0</v>
      </c>
      <c r="I40" s="103">
        <f t="shared" si="5"/>
        <v>0</v>
      </c>
      <c r="J40" s="103">
        <f t="shared" si="5"/>
        <v>0</v>
      </c>
      <c r="K40" s="103">
        <f t="shared" si="5"/>
        <v>5000</v>
      </c>
      <c r="L40" s="103">
        <f t="shared" si="5"/>
        <v>0</v>
      </c>
      <c r="M40" s="103">
        <f t="shared" si="5"/>
        <v>366.28</v>
      </c>
      <c r="N40" s="103">
        <f t="shared" si="5"/>
        <v>2000</v>
      </c>
      <c r="O40" s="103">
        <f t="shared" si="5"/>
        <v>0</v>
      </c>
      <c r="P40" s="103">
        <f t="shared" si="5"/>
        <v>0</v>
      </c>
    </row>
    <row r="41" spans="1:17" ht="3.75" customHeight="1" x14ac:dyDescent="0.35">
      <c r="A41" s="102"/>
      <c r="B41" s="101"/>
      <c r="C41" s="100"/>
      <c r="D41" s="99"/>
      <c r="E41" s="98"/>
      <c r="F41" s="98"/>
      <c r="G41" s="98"/>
      <c r="H41" s="98"/>
      <c r="I41" s="98"/>
      <c r="J41" s="98"/>
      <c r="K41" s="98"/>
      <c r="L41" s="98"/>
      <c r="M41" s="98"/>
      <c r="N41" s="98"/>
      <c r="O41" s="98"/>
      <c r="P41" s="98"/>
    </row>
    <row r="42" spans="1:17" s="42" customFormat="1" ht="21.75" customHeight="1" thickBot="1" x14ac:dyDescent="0.4">
      <c r="A42" s="97" t="s">
        <v>90</v>
      </c>
      <c r="B42" s="96">
        <f>B33+B40</f>
        <v>57425</v>
      </c>
      <c r="C42" s="96">
        <f>C33+C40</f>
        <v>40248.159999999996</v>
      </c>
      <c r="D42" s="95">
        <f>D33+D40</f>
        <v>17176.840000000004</v>
      </c>
      <c r="E42" s="94">
        <f>E33+E40</f>
        <v>1048.45</v>
      </c>
      <c r="F42" s="94">
        <f t="shared" ref="F42:P42" si="6">F33+F40</f>
        <v>3662.55</v>
      </c>
      <c r="G42" s="94">
        <f t="shared" si="6"/>
        <v>9850.93</v>
      </c>
      <c r="H42" s="94">
        <f t="shared" si="6"/>
        <v>2027.42</v>
      </c>
      <c r="I42" s="94">
        <f t="shared" si="6"/>
        <v>1811.9099999999999</v>
      </c>
      <c r="J42" s="94">
        <f t="shared" si="6"/>
        <v>4288.53</v>
      </c>
      <c r="K42" s="94">
        <f t="shared" si="6"/>
        <v>5951.01</v>
      </c>
      <c r="L42" s="94">
        <f t="shared" si="6"/>
        <v>74.41</v>
      </c>
      <c r="M42" s="94">
        <f t="shared" si="6"/>
        <v>3200.2</v>
      </c>
      <c r="N42" s="94">
        <f t="shared" si="6"/>
        <v>8332.75</v>
      </c>
      <c r="O42" s="94">
        <f t="shared" si="6"/>
        <v>0</v>
      </c>
      <c r="P42" s="94">
        <f t="shared" si="6"/>
        <v>0</v>
      </c>
    </row>
    <row r="43" spans="1:17" ht="15" thickTop="1" x14ac:dyDescent="0.35">
      <c r="B43" s="93"/>
      <c r="C43" s="36"/>
      <c r="D43" s="37"/>
      <c r="E43" s="157"/>
      <c r="F43" s="157"/>
      <c r="G43" s="157"/>
      <c r="H43" s="157"/>
      <c r="I43" s="168"/>
      <c r="J43" s="157"/>
    </row>
    <row r="44" spans="1:17" x14ac:dyDescent="0.35">
      <c r="C44" s="36"/>
      <c r="E44" s="144"/>
      <c r="F44" s="215"/>
    </row>
    <row r="45" spans="1:17" x14ac:dyDescent="0.35">
      <c r="E45" s="205"/>
    </row>
    <row r="46" spans="1:17" x14ac:dyDescent="0.35">
      <c r="E46" s="205"/>
    </row>
    <row r="47" spans="1:17" x14ac:dyDescent="0.35">
      <c r="E47" s="205"/>
    </row>
  </sheetData>
  <mergeCells count="2">
    <mergeCell ref="A2:A3"/>
    <mergeCell ref="B2:P2"/>
  </mergeCells>
  <pageMargins left="0.7" right="0.7" top="0.75" bottom="0.75" header="0.3" footer="0.3"/>
  <pageSetup scale="64"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4A17D-7A4C-46B9-9D89-D5FD96D4BD6A}">
  <dimension ref="A1:M162"/>
  <sheetViews>
    <sheetView showGridLines="0" zoomScale="85" zoomScaleNormal="85" workbookViewId="0">
      <pane xSplit="1" ySplit="6" topLeftCell="B120" activePane="bottomRight" state="frozen"/>
      <selection pane="topRight" activeCell="H28" sqref="H28"/>
      <selection pane="bottomLeft" activeCell="H28" sqref="H28"/>
      <selection pane="bottomRight" activeCell="D125" sqref="D125"/>
    </sheetView>
  </sheetViews>
  <sheetFormatPr defaultColWidth="14.453125" defaultRowHeight="15" customHeight="1" x14ac:dyDescent="0.3"/>
  <cols>
    <col min="1" max="1" width="8.7265625" style="125" customWidth="1"/>
    <col min="2" max="2" width="14.1796875" style="125" customWidth="1"/>
    <col min="3" max="3" width="10.7265625" style="125" customWidth="1"/>
    <col min="4" max="4" width="54.7265625" style="125" customWidth="1"/>
    <col min="5" max="5" width="11.1796875" style="125" customWidth="1"/>
    <col min="6" max="6" width="11.7265625" style="125" customWidth="1"/>
    <col min="7" max="7" width="3.7265625" style="125" customWidth="1"/>
    <col min="8" max="8" width="12" style="125" customWidth="1"/>
    <col min="9" max="9" width="11.7265625" style="125" customWidth="1"/>
    <col min="10" max="10" width="1.26953125" style="125" customWidth="1"/>
    <col min="11" max="11" width="9.54296875" style="162" customWidth="1"/>
    <col min="12" max="12" width="10.81640625" style="125" customWidth="1"/>
    <col min="13" max="16384" width="14.453125" style="125"/>
  </cols>
  <sheetData>
    <row r="1" spans="1:13" ht="14.65" customHeight="1" x14ac:dyDescent="0.35">
      <c r="A1" s="123"/>
      <c r="B1" s="123"/>
      <c r="C1" s="123"/>
      <c r="D1" s="123"/>
      <c r="E1" s="123"/>
      <c r="F1" s="123"/>
      <c r="G1" s="124"/>
      <c r="H1" s="124"/>
      <c r="I1" s="124"/>
    </row>
    <row r="2" spans="1:13" ht="21" customHeight="1" x14ac:dyDescent="0.55000000000000004">
      <c r="A2" s="123"/>
      <c r="B2" s="126" t="s">
        <v>153</v>
      </c>
      <c r="C2" s="123"/>
      <c r="D2" s="123"/>
      <c r="E2" s="123"/>
      <c r="F2" s="123"/>
      <c r="G2" s="124"/>
      <c r="H2" s="124"/>
      <c r="I2" s="124"/>
      <c r="L2" s="173" t="s">
        <v>91</v>
      </c>
    </row>
    <row r="3" spans="1:13" ht="14.65" customHeight="1" x14ac:dyDescent="0.35">
      <c r="A3" s="123"/>
      <c r="B3" s="127" t="str">
        <f>+'INCOME-p1'!A1</f>
        <v>As of 10/31/2024</v>
      </c>
      <c r="C3" s="123"/>
      <c r="D3" s="123"/>
      <c r="E3" s="123"/>
      <c r="F3" s="210"/>
      <c r="G3" s="124"/>
      <c r="H3" s="124"/>
      <c r="I3" s="124"/>
    </row>
    <row r="4" spans="1:13" ht="14.65" customHeight="1" x14ac:dyDescent="0.35">
      <c r="A4" s="123"/>
      <c r="B4" s="123"/>
      <c r="C4" s="123"/>
      <c r="D4" s="123"/>
      <c r="E4" s="123"/>
      <c r="F4" s="210"/>
      <c r="G4" s="124"/>
      <c r="H4" s="124"/>
      <c r="I4" s="124"/>
    </row>
    <row r="5" spans="1:13" ht="14.65" customHeight="1" x14ac:dyDescent="0.35">
      <c r="A5" s="123"/>
      <c r="B5" s="123"/>
      <c r="C5" s="123"/>
      <c r="D5" s="123"/>
      <c r="E5" s="123"/>
      <c r="F5" s="123"/>
      <c r="G5" s="124"/>
      <c r="H5" s="124"/>
      <c r="I5" s="124"/>
    </row>
    <row r="6" spans="1:13" ht="29" x14ac:dyDescent="0.35">
      <c r="A6" s="123"/>
      <c r="B6" s="128" t="s">
        <v>92</v>
      </c>
      <c r="C6" s="128" t="s">
        <v>93</v>
      </c>
      <c r="D6" s="128" t="s">
        <v>94</v>
      </c>
      <c r="E6" s="128" t="s">
        <v>95</v>
      </c>
      <c r="F6" s="128" t="s">
        <v>96</v>
      </c>
      <c r="G6" s="124"/>
      <c r="H6" s="128" t="s">
        <v>97</v>
      </c>
      <c r="I6" s="128" t="s">
        <v>98</v>
      </c>
      <c r="K6" s="163" t="s">
        <v>99</v>
      </c>
      <c r="L6" s="167" t="s">
        <v>100</v>
      </c>
    </row>
    <row r="7" spans="1:13" ht="14.65" customHeight="1" x14ac:dyDescent="0.35">
      <c r="A7" s="123"/>
      <c r="B7" s="129"/>
      <c r="C7" s="130"/>
      <c r="D7" s="131" t="s">
        <v>101</v>
      </c>
      <c r="E7" s="132"/>
      <c r="F7" s="132">
        <f>33415.08+1102.58</f>
        <v>34517.660000000003</v>
      </c>
      <c r="G7" s="138"/>
      <c r="H7" s="139"/>
      <c r="I7" s="143">
        <f>-H133</f>
        <v>-25</v>
      </c>
      <c r="K7" s="164"/>
      <c r="L7" s="68"/>
    </row>
    <row r="8" spans="1:13" ht="15.75" customHeight="1" x14ac:dyDescent="0.35">
      <c r="A8" s="123"/>
      <c r="B8" s="129">
        <v>3959</v>
      </c>
      <c r="C8" s="170">
        <v>45296</v>
      </c>
      <c r="D8" s="136" t="s">
        <v>145</v>
      </c>
      <c r="E8" s="187">
        <v>-469.72</v>
      </c>
      <c r="F8" s="187">
        <f>+F7+E8</f>
        <v>34047.94</v>
      </c>
      <c r="G8" s="140"/>
      <c r="H8" s="198">
        <f t="shared" ref="H8:H48" si="0">+E8</f>
        <v>-469.72</v>
      </c>
      <c r="I8" s="198"/>
      <c r="J8" s="138"/>
      <c r="K8" s="165"/>
      <c r="L8" s="161"/>
      <c r="M8" s="218"/>
    </row>
    <row r="9" spans="1:13" ht="15.75" customHeight="1" x14ac:dyDescent="0.35">
      <c r="A9" s="123"/>
      <c r="B9" s="137" t="s">
        <v>149</v>
      </c>
      <c r="C9" s="170">
        <v>45296</v>
      </c>
      <c r="D9" s="136" t="s">
        <v>102</v>
      </c>
      <c r="E9" s="187">
        <v>-29.13</v>
      </c>
      <c r="F9" s="187">
        <f t="shared" ref="F9:F73" si="1">+F8+E9</f>
        <v>34018.810000000005</v>
      </c>
      <c r="G9" s="140"/>
      <c r="H9" s="198">
        <f t="shared" si="0"/>
        <v>-29.13</v>
      </c>
      <c r="I9" s="198"/>
      <c r="J9" s="138"/>
      <c r="K9" s="165"/>
      <c r="L9" s="161"/>
    </row>
    <row r="10" spans="1:13" ht="15.75" customHeight="1" x14ac:dyDescent="0.35">
      <c r="A10" s="123"/>
      <c r="B10" s="129">
        <v>3960</v>
      </c>
      <c r="C10" s="170">
        <v>45301</v>
      </c>
      <c r="D10" s="136" t="s">
        <v>144</v>
      </c>
      <c r="E10" s="187">
        <v>-300</v>
      </c>
      <c r="F10" s="187">
        <f t="shared" si="1"/>
        <v>33718.810000000005</v>
      </c>
      <c r="G10" s="140"/>
      <c r="H10" s="198">
        <f t="shared" si="0"/>
        <v>-300</v>
      </c>
      <c r="I10" s="198"/>
      <c r="J10" s="138"/>
      <c r="K10" s="165"/>
      <c r="L10" s="161"/>
      <c r="M10" s="218"/>
    </row>
    <row r="11" spans="1:13" ht="15.75" customHeight="1" x14ac:dyDescent="0.35">
      <c r="A11" s="123"/>
      <c r="B11" s="129"/>
      <c r="C11" s="170">
        <v>45320</v>
      </c>
      <c r="D11" s="136" t="s">
        <v>103</v>
      </c>
      <c r="E11" s="187">
        <v>2443.2800000000002</v>
      </c>
      <c r="F11" s="187">
        <f t="shared" si="1"/>
        <v>36162.090000000004</v>
      </c>
      <c r="G11" s="140"/>
      <c r="H11" s="198">
        <f t="shared" si="0"/>
        <v>2443.2800000000002</v>
      </c>
      <c r="I11" s="198"/>
      <c r="J11" s="138"/>
      <c r="K11" s="165"/>
      <c r="L11" s="161"/>
    </row>
    <row r="12" spans="1:13" ht="15.75" customHeight="1" x14ac:dyDescent="0.35">
      <c r="A12" s="123"/>
      <c r="B12" s="129">
        <v>3961</v>
      </c>
      <c r="C12" s="170"/>
      <c r="D12" s="136" t="s">
        <v>146</v>
      </c>
      <c r="E12" s="187">
        <v>0</v>
      </c>
      <c r="F12" s="187">
        <f t="shared" si="1"/>
        <v>36162.090000000004</v>
      </c>
      <c r="G12" s="140"/>
      <c r="H12" s="198">
        <f t="shared" si="0"/>
        <v>0</v>
      </c>
      <c r="I12" s="198"/>
      <c r="J12" s="138"/>
      <c r="K12" s="165"/>
      <c r="L12" s="161"/>
    </row>
    <row r="13" spans="1:13" ht="15.75" customHeight="1" x14ac:dyDescent="0.35">
      <c r="A13" s="123"/>
      <c r="B13" s="129">
        <v>3962</v>
      </c>
      <c r="C13" s="170"/>
      <c r="D13" s="136" t="s">
        <v>146</v>
      </c>
      <c r="E13" s="187">
        <v>0</v>
      </c>
      <c r="F13" s="187">
        <f t="shared" si="1"/>
        <v>36162.090000000004</v>
      </c>
      <c r="G13" s="140"/>
      <c r="H13" s="198">
        <f t="shared" si="0"/>
        <v>0</v>
      </c>
      <c r="I13" s="198"/>
      <c r="J13" s="138"/>
      <c r="K13" s="165"/>
      <c r="L13" s="161"/>
    </row>
    <row r="14" spans="1:13" ht="15.75" customHeight="1" x14ac:dyDescent="0.35">
      <c r="A14" s="123"/>
      <c r="B14" s="137" t="s">
        <v>150</v>
      </c>
      <c r="C14" s="170">
        <v>45322</v>
      </c>
      <c r="D14" s="136" t="s">
        <v>151</v>
      </c>
      <c r="E14" s="187">
        <v>-236</v>
      </c>
      <c r="F14" s="187">
        <f t="shared" si="1"/>
        <v>35926.090000000004</v>
      </c>
      <c r="G14" s="140"/>
      <c r="H14" s="198">
        <f t="shared" si="0"/>
        <v>-236</v>
      </c>
      <c r="I14" s="198"/>
      <c r="J14" s="138"/>
      <c r="K14" s="165"/>
      <c r="L14" s="161"/>
    </row>
    <row r="15" spans="1:13" ht="15.75" customHeight="1" x14ac:dyDescent="0.35">
      <c r="A15" s="123"/>
      <c r="B15" s="137" t="s">
        <v>150</v>
      </c>
      <c r="C15" s="170">
        <v>45322</v>
      </c>
      <c r="D15" s="136" t="s">
        <v>152</v>
      </c>
      <c r="E15" s="187">
        <v>-13.6</v>
      </c>
      <c r="F15" s="187">
        <f t="shared" si="1"/>
        <v>35912.490000000005</v>
      </c>
      <c r="G15" s="140"/>
      <c r="H15" s="198">
        <f t="shared" si="0"/>
        <v>-13.6</v>
      </c>
      <c r="I15" s="198"/>
      <c r="J15" s="138"/>
      <c r="K15" s="165"/>
      <c r="L15" s="161"/>
    </row>
    <row r="16" spans="1:13" ht="15.75" customHeight="1" x14ac:dyDescent="0.35">
      <c r="A16" s="123"/>
      <c r="B16" s="129">
        <v>3963</v>
      </c>
      <c r="C16" s="170">
        <v>45323</v>
      </c>
      <c r="D16" s="136" t="s">
        <v>147</v>
      </c>
      <c r="E16" s="187">
        <v>-300</v>
      </c>
      <c r="F16" s="187">
        <f t="shared" si="1"/>
        <v>35612.490000000005</v>
      </c>
      <c r="G16" s="140"/>
      <c r="H16" s="198">
        <f t="shared" si="0"/>
        <v>-300</v>
      </c>
      <c r="I16" s="198"/>
      <c r="J16" s="138"/>
      <c r="K16" s="165"/>
      <c r="L16" s="161"/>
      <c r="M16" s="218"/>
    </row>
    <row r="17" spans="1:13" ht="15.75" customHeight="1" x14ac:dyDescent="0.35">
      <c r="A17" s="123"/>
      <c r="B17" s="129">
        <v>3964</v>
      </c>
      <c r="C17" s="170">
        <v>45328</v>
      </c>
      <c r="D17" s="136" t="s">
        <v>148</v>
      </c>
      <c r="E17" s="187">
        <v>-300</v>
      </c>
      <c r="F17" s="187">
        <f t="shared" si="1"/>
        <v>35312.490000000005</v>
      </c>
      <c r="G17" s="140"/>
      <c r="H17" s="198">
        <f t="shared" si="0"/>
        <v>-300</v>
      </c>
      <c r="I17" s="198"/>
      <c r="J17" s="138"/>
      <c r="K17" s="165"/>
      <c r="L17" s="161"/>
      <c r="M17" s="218"/>
    </row>
    <row r="18" spans="1:13" ht="15.75" customHeight="1" x14ac:dyDescent="0.35">
      <c r="A18" s="123"/>
      <c r="B18" s="137" t="s">
        <v>149</v>
      </c>
      <c r="C18" s="170">
        <v>45327</v>
      </c>
      <c r="D18" s="136" t="s">
        <v>102</v>
      </c>
      <c r="E18" s="187">
        <v>-27.3</v>
      </c>
      <c r="F18" s="187">
        <f t="shared" si="1"/>
        <v>35285.19</v>
      </c>
      <c r="G18" s="140"/>
      <c r="H18" s="198">
        <f t="shared" si="0"/>
        <v>-27.3</v>
      </c>
      <c r="I18" s="198"/>
      <c r="J18" s="138"/>
      <c r="K18" s="165"/>
      <c r="L18" s="161"/>
    </row>
    <row r="19" spans="1:13" ht="15.75" customHeight="1" x14ac:dyDescent="0.35">
      <c r="A19" s="123"/>
      <c r="B19" s="129">
        <v>3965</v>
      </c>
      <c r="C19" s="170">
        <v>45333</v>
      </c>
      <c r="D19" s="136" t="s">
        <v>200</v>
      </c>
      <c r="E19" s="187">
        <v>-206.45</v>
      </c>
      <c r="F19" s="187">
        <f t="shared" si="1"/>
        <v>35078.740000000005</v>
      </c>
      <c r="G19" s="140"/>
      <c r="H19" s="198">
        <f t="shared" si="0"/>
        <v>-206.45</v>
      </c>
      <c r="I19" s="198"/>
      <c r="J19" s="138"/>
      <c r="K19" s="165">
        <v>-11.4</v>
      </c>
      <c r="L19" s="161">
        <f>+H19-K19</f>
        <v>-195.04999999999998</v>
      </c>
    </row>
    <row r="20" spans="1:13" ht="15.75" customHeight="1" x14ac:dyDescent="0.35">
      <c r="A20" s="123"/>
      <c r="B20" s="129">
        <v>3966</v>
      </c>
      <c r="C20" s="170">
        <v>45340</v>
      </c>
      <c r="D20" s="136" t="s">
        <v>192</v>
      </c>
      <c r="E20" s="187">
        <v>-2500</v>
      </c>
      <c r="F20" s="187">
        <f t="shared" si="1"/>
        <v>32578.740000000005</v>
      </c>
      <c r="G20" s="140"/>
      <c r="H20" s="198">
        <f t="shared" si="0"/>
        <v>-2500</v>
      </c>
      <c r="I20" s="198"/>
      <c r="J20" s="138"/>
      <c r="K20" s="165"/>
      <c r="L20" s="161"/>
    </row>
    <row r="21" spans="1:13" ht="15.75" customHeight="1" x14ac:dyDescent="0.35">
      <c r="A21" s="123"/>
      <c r="B21" s="129">
        <v>3967</v>
      </c>
      <c r="C21" s="170">
        <v>45340</v>
      </c>
      <c r="D21" s="136" t="s">
        <v>193</v>
      </c>
      <c r="E21" s="187">
        <v>-328.8</v>
      </c>
      <c r="F21" s="187">
        <f t="shared" si="1"/>
        <v>32249.940000000006</v>
      </c>
      <c r="G21" s="140" t="s">
        <v>191</v>
      </c>
      <c r="H21" s="198">
        <f t="shared" si="0"/>
        <v>-328.8</v>
      </c>
      <c r="I21" s="165"/>
      <c r="J21" s="138"/>
      <c r="K21" s="165"/>
      <c r="L21" s="161"/>
    </row>
    <row r="22" spans="1:13" ht="15.75" customHeight="1" x14ac:dyDescent="0.35">
      <c r="A22" s="123"/>
      <c r="B22" s="129"/>
      <c r="C22" s="170">
        <v>45350</v>
      </c>
      <c r="D22" s="136" t="s">
        <v>103</v>
      </c>
      <c r="E22" s="187">
        <v>1940.08</v>
      </c>
      <c r="F22" s="187">
        <f t="shared" si="1"/>
        <v>34190.020000000004</v>
      </c>
      <c r="G22" s="140"/>
      <c r="H22" s="198">
        <f t="shared" si="0"/>
        <v>1940.08</v>
      </c>
      <c r="I22" s="165"/>
      <c r="J22" s="138"/>
      <c r="K22" s="165"/>
      <c r="L22" s="161"/>
    </row>
    <row r="23" spans="1:13" ht="29" x14ac:dyDescent="0.35">
      <c r="A23" s="123"/>
      <c r="B23" s="129">
        <v>3968</v>
      </c>
      <c r="C23" s="170">
        <v>45352</v>
      </c>
      <c r="D23" s="136" t="s">
        <v>221</v>
      </c>
      <c r="E23" s="187">
        <v>-100</v>
      </c>
      <c r="F23" s="187">
        <f t="shared" si="1"/>
        <v>34090.020000000004</v>
      </c>
      <c r="G23" s="140"/>
      <c r="H23" s="198">
        <f t="shared" si="0"/>
        <v>-100</v>
      </c>
      <c r="I23" s="165"/>
      <c r="J23" s="138"/>
      <c r="K23" s="165"/>
      <c r="L23" s="161"/>
    </row>
    <row r="24" spans="1:13" ht="15.75" customHeight="1" x14ac:dyDescent="0.35">
      <c r="A24" s="123"/>
      <c r="B24" s="129">
        <v>3969</v>
      </c>
      <c r="C24" s="170">
        <v>45352</v>
      </c>
      <c r="D24" s="136" t="s">
        <v>217</v>
      </c>
      <c r="E24" s="187">
        <v>-15</v>
      </c>
      <c r="F24" s="187">
        <f t="shared" si="1"/>
        <v>34075.020000000004</v>
      </c>
      <c r="G24" s="140"/>
      <c r="H24" s="198">
        <f t="shared" si="0"/>
        <v>-15</v>
      </c>
      <c r="I24" s="165"/>
      <c r="J24" s="138"/>
      <c r="K24" s="165">
        <v>-15</v>
      </c>
      <c r="L24" s="161">
        <f>+H24-K24</f>
        <v>0</v>
      </c>
    </row>
    <row r="25" spans="1:13" ht="15.75" customHeight="1" x14ac:dyDescent="0.35">
      <c r="A25" s="123"/>
      <c r="B25" s="129">
        <v>3970</v>
      </c>
      <c r="C25" s="170">
        <v>45352</v>
      </c>
      <c r="D25" s="136" t="s">
        <v>208</v>
      </c>
      <c r="E25" s="187">
        <v>-2000</v>
      </c>
      <c r="F25" s="187">
        <f t="shared" si="1"/>
        <v>32075.020000000004</v>
      </c>
      <c r="G25" s="140"/>
      <c r="H25" s="198">
        <f t="shared" si="0"/>
        <v>-2000</v>
      </c>
      <c r="I25" s="165"/>
      <c r="J25" s="138"/>
      <c r="K25" s="165"/>
      <c r="L25" s="161"/>
    </row>
    <row r="26" spans="1:13" ht="15.75" customHeight="1" x14ac:dyDescent="0.35">
      <c r="A26" s="123"/>
      <c r="B26" s="137" t="s">
        <v>149</v>
      </c>
      <c r="C26" s="170">
        <v>45356</v>
      </c>
      <c r="D26" s="136" t="s">
        <v>102</v>
      </c>
      <c r="E26" s="187">
        <v>-27.85</v>
      </c>
      <c r="F26" s="187">
        <f t="shared" si="1"/>
        <v>32047.170000000006</v>
      </c>
      <c r="G26" s="140"/>
      <c r="H26" s="198">
        <f t="shared" si="0"/>
        <v>-27.85</v>
      </c>
      <c r="I26" s="165"/>
      <c r="J26" s="138"/>
      <c r="K26" s="165"/>
      <c r="L26" s="161"/>
    </row>
    <row r="27" spans="1:13" ht="15.75" customHeight="1" x14ac:dyDescent="0.35">
      <c r="A27" s="123"/>
      <c r="B27" s="129">
        <v>3971</v>
      </c>
      <c r="C27" s="170">
        <v>45363</v>
      </c>
      <c r="D27" s="136" t="s">
        <v>209</v>
      </c>
      <c r="E27" s="187">
        <v>-300</v>
      </c>
      <c r="F27" s="187">
        <f t="shared" si="1"/>
        <v>31747.170000000006</v>
      </c>
      <c r="G27" s="140"/>
      <c r="H27" s="198">
        <f t="shared" si="0"/>
        <v>-300</v>
      </c>
      <c r="I27" s="165"/>
      <c r="J27" s="138"/>
      <c r="K27" s="165"/>
      <c r="L27" s="161"/>
      <c r="M27" s="218"/>
    </row>
    <row r="28" spans="1:13" ht="15.75" customHeight="1" x14ac:dyDescent="0.35">
      <c r="A28" s="123"/>
      <c r="B28" s="129">
        <v>3972</v>
      </c>
      <c r="C28" s="170">
        <v>45363</v>
      </c>
      <c r="D28" s="136" t="s">
        <v>213</v>
      </c>
      <c r="E28" s="187">
        <v>-767</v>
      </c>
      <c r="F28" s="187">
        <f t="shared" si="1"/>
        <v>30980.170000000006</v>
      </c>
      <c r="G28" s="140"/>
      <c r="H28" s="198">
        <f t="shared" si="0"/>
        <v>-767</v>
      </c>
      <c r="I28" s="165"/>
      <c r="J28" s="138"/>
      <c r="K28" s="165"/>
      <c r="L28" s="161"/>
    </row>
    <row r="29" spans="1:13" ht="15.75" customHeight="1" x14ac:dyDescent="0.35">
      <c r="A29" s="123"/>
      <c r="B29" s="129">
        <v>3973</v>
      </c>
      <c r="C29" s="170">
        <v>45363</v>
      </c>
      <c r="D29" s="136" t="s">
        <v>214</v>
      </c>
      <c r="E29" s="187">
        <v>-767</v>
      </c>
      <c r="F29" s="187">
        <f t="shared" si="1"/>
        <v>30213.170000000006</v>
      </c>
      <c r="G29" s="140"/>
      <c r="H29" s="198">
        <f t="shared" si="0"/>
        <v>-767</v>
      </c>
      <c r="I29" s="165"/>
      <c r="J29" s="138"/>
      <c r="K29" s="165"/>
      <c r="L29" s="161"/>
    </row>
    <row r="30" spans="1:13" ht="15.75" customHeight="1" x14ac:dyDescent="0.35">
      <c r="A30" s="123"/>
      <c r="B30" s="129">
        <v>3974</v>
      </c>
      <c r="C30" s="170">
        <v>45365</v>
      </c>
      <c r="D30" s="136" t="s">
        <v>210</v>
      </c>
      <c r="E30" s="187">
        <v>-2179.1799999999998</v>
      </c>
      <c r="F30" s="187">
        <f t="shared" si="1"/>
        <v>28033.990000000005</v>
      </c>
      <c r="G30" s="140"/>
      <c r="H30" s="198">
        <f t="shared" si="0"/>
        <v>-2179.1799999999998</v>
      </c>
      <c r="I30" s="165"/>
      <c r="J30" s="138"/>
      <c r="K30" s="165"/>
      <c r="L30" s="161"/>
    </row>
    <row r="31" spans="1:13" ht="15.75" customHeight="1" x14ac:dyDescent="0.35">
      <c r="A31" s="123"/>
      <c r="B31" s="129"/>
      <c r="C31" s="170">
        <v>45369</v>
      </c>
      <c r="D31" s="136" t="s">
        <v>228</v>
      </c>
      <c r="E31" s="187">
        <v>-91</v>
      </c>
      <c r="F31" s="187">
        <f t="shared" si="1"/>
        <v>27942.990000000005</v>
      </c>
      <c r="G31" s="140"/>
      <c r="H31" s="198">
        <f t="shared" si="0"/>
        <v>-91</v>
      </c>
      <c r="I31" s="165"/>
      <c r="J31" s="138"/>
      <c r="K31" s="165"/>
      <c r="L31" s="161"/>
      <c r="M31" s="218"/>
    </row>
    <row r="32" spans="1:13" ht="15.75" customHeight="1" x14ac:dyDescent="0.35">
      <c r="A32" s="123"/>
      <c r="B32" s="129"/>
      <c r="C32" s="170">
        <v>45369</v>
      </c>
      <c r="D32" s="136" t="s">
        <v>229</v>
      </c>
      <c r="E32" s="187">
        <v>91</v>
      </c>
      <c r="F32" s="187">
        <f t="shared" si="1"/>
        <v>28033.990000000005</v>
      </c>
      <c r="G32" s="140"/>
      <c r="H32" s="198">
        <f t="shared" si="0"/>
        <v>91</v>
      </c>
      <c r="I32" s="165"/>
      <c r="J32" s="138"/>
      <c r="K32" s="165"/>
      <c r="L32" s="161"/>
    </row>
    <row r="33" spans="1:13" ht="15.75" customHeight="1" x14ac:dyDescent="0.35">
      <c r="A33" s="123"/>
      <c r="B33" s="129">
        <v>3975</v>
      </c>
      <c r="C33" s="170">
        <v>45370</v>
      </c>
      <c r="D33" s="136" t="s">
        <v>211</v>
      </c>
      <c r="E33" s="187">
        <v>-191.75</v>
      </c>
      <c r="F33" s="187">
        <f t="shared" si="1"/>
        <v>27842.240000000005</v>
      </c>
      <c r="G33" s="140"/>
      <c r="H33" s="198">
        <f t="shared" si="0"/>
        <v>-191.75</v>
      </c>
      <c r="I33" s="165"/>
      <c r="J33" s="138"/>
      <c r="K33" s="165"/>
      <c r="L33" s="161"/>
    </row>
    <row r="34" spans="1:13" ht="15.75" customHeight="1" x14ac:dyDescent="0.35">
      <c r="A34" s="123"/>
      <c r="B34" s="129">
        <v>3976</v>
      </c>
      <c r="C34" s="170">
        <v>45370</v>
      </c>
      <c r="D34" s="136" t="s">
        <v>212</v>
      </c>
      <c r="E34" s="187">
        <v>-191.75</v>
      </c>
      <c r="F34" s="187">
        <f t="shared" si="1"/>
        <v>27650.490000000005</v>
      </c>
      <c r="G34" s="140"/>
      <c r="H34" s="198">
        <f t="shared" si="0"/>
        <v>-191.75</v>
      </c>
      <c r="I34" s="165"/>
      <c r="J34" s="138"/>
      <c r="K34" s="165"/>
      <c r="L34" s="161"/>
    </row>
    <row r="35" spans="1:13" ht="15.75" customHeight="1" x14ac:dyDescent="0.35">
      <c r="A35" s="123"/>
      <c r="B35" s="129">
        <v>3977</v>
      </c>
      <c r="C35" s="170">
        <v>45370</v>
      </c>
      <c r="D35" s="136" t="s">
        <v>215</v>
      </c>
      <c r="E35" s="187">
        <v>-300</v>
      </c>
      <c r="F35" s="187">
        <f t="shared" si="1"/>
        <v>27350.490000000005</v>
      </c>
      <c r="G35" s="140"/>
      <c r="H35" s="198">
        <f t="shared" si="0"/>
        <v>-300</v>
      </c>
      <c r="I35" s="165"/>
      <c r="J35" s="138"/>
      <c r="K35" s="165"/>
      <c r="L35" s="161"/>
      <c r="M35" s="218"/>
    </row>
    <row r="36" spans="1:13" ht="15.75" customHeight="1" x14ac:dyDescent="0.35">
      <c r="A36" s="123"/>
      <c r="B36" s="129"/>
      <c r="C36" s="170">
        <v>45376</v>
      </c>
      <c r="D36" s="136" t="s">
        <v>103</v>
      </c>
      <c r="E36" s="187">
        <v>1120</v>
      </c>
      <c r="F36" s="187">
        <f t="shared" si="1"/>
        <v>28470.490000000005</v>
      </c>
      <c r="G36" s="140"/>
      <c r="H36" s="198">
        <f t="shared" si="0"/>
        <v>1120</v>
      </c>
      <c r="I36" s="165"/>
      <c r="J36" s="138"/>
      <c r="K36" s="165"/>
      <c r="L36" s="161"/>
    </row>
    <row r="37" spans="1:13" ht="15.75" customHeight="1" x14ac:dyDescent="0.35">
      <c r="A37" s="123"/>
      <c r="B37" s="137" t="s">
        <v>149</v>
      </c>
      <c r="C37" s="170">
        <v>45385</v>
      </c>
      <c r="D37" s="136" t="s">
        <v>102</v>
      </c>
      <c r="E37" s="187">
        <v>-22.88</v>
      </c>
      <c r="F37" s="187">
        <f t="shared" si="1"/>
        <v>28447.610000000004</v>
      </c>
      <c r="G37" s="140"/>
      <c r="H37" s="198">
        <f t="shared" si="0"/>
        <v>-22.88</v>
      </c>
      <c r="I37" s="165"/>
      <c r="J37" s="138"/>
      <c r="K37" s="165"/>
      <c r="L37" s="161"/>
    </row>
    <row r="38" spans="1:13" ht="15.75" customHeight="1" x14ac:dyDescent="0.35">
      <c r="A38" s="123"/>
      <c r="B38" s="129">
        <v>3978</v>
      </c>
      <c r="C38" s="170">
        <v>45390</v>
      </c>
      <c r="D38" s="136" t="s">
        <v>227</v>
      </c>
      <c r="E38" s="187">
        <v>-25</v>
      </c>
      <c r="F38" s="187">
        <f t="shared" si="1"/>
        <v>28422.610000000004</v>
      </c>
      <c r="G38" s="140"/>
      <c r="H38" s="198">
        <f t="shared" ref="H38" si="2">+E38</f>
        <v>-25</v>
      </c>
      <c r="I38" s="165"/>
      <c r="J38" s="138"/>
      <c r="K38" s="165"/>
      <c r="L38" s="161"/>
      <c r="M38" s="218"/>
    </row>
    <row r="39" spans="1:13" ht="15.75" customHeight="1" x14ac:dyDescent="0.35">
      <c r="A39" s="123"/>
      <c r="B39" s="129">
        <v>3979</v>
      </c>
      <c r="C39" s="170">
        <v>45390</v>
      </c>
      <c r="D39" s="136" t="s">
        <v>216</v>
      </c>
      <c r="E39" s="187">
        <v>-50</v>
      </c>
      <c r="F39" s="187">
        <f t="shared" si="1"/>
        <v>28372.610000000004</v>
      </c>
      <c r="G39" s="140"/>
      <c r="H39" s="198">
        <f t="shared" si="0"/>
        <v>-50</v>
      </c>
      <c r="I39" s="165"/>
      <c r="J39" s="138"/>
      <c r="K39" s="165"/>
      <c r="L39" s="161"/>
      <c r="M39" s="218"/>
    </row>
    <row r="40" spans="1:13" ht="29" x14ac:dyDescent="0.35">
      <c r="A40" s="123"/>
      <c r="B40" s="129">
        <v>3980</v>
      </c>
      <c r="C40" s="170">
        <v>45390</v>
      </c>
      <c r="D40" s="136" t="s">
        <v>224</v>
      </c>
      <c r="E40" s="187">
        <f>-480-56.4</f>
        <v>-536.4</v>
      </c>
      <c r="F40" s="187">
        <f t="shared" si="1"/>
        <v>27836.210000000003</v>
      </c>
      <c r="G40" s="140"/>
      <c r="H40" s="198">
        <f t="shared" si="0"/>
        <v>-536.4</v>
      </c>
      <c r="I40" s="165"/>
      <c r="J40" s="138"/>
      <c r="K40" s="165"/>
      <c r="L40" s="161"/>
    </row>
    <row r="41" spans="1:13" ht="15.75" customHeight="1" x14ac:dyDescent="0.35">
      <c r="A41" s="123"/>
      <c r="B41" s="129">
        <v>3981</v>
      </c>
      <c r="C41" s="170">
        <v>45393</v>
      </c>
      <c r="D41" s="136" t="s">
        <v>345</v>
      </c>
      <c r="E41" s="187">
        <v>-3000</v>
      </c>
      <c r="F41" s="187">
        <f t="shared" si="1"/>
        <v>24836.210000000003</v>
      </c>
      <c r="G41" s="140"/>
      <c r="H41" s="198">
        <f t="shared" si="0"/>
        <v>-3000</v>
      </c>
      <c r="I41" s="165"/>
      <c r="J41" s="138"/>
      <c r="K41" s="165"/>
      <c r="L41" s="161"/>
    </row>
    <row r="42" spans="1:13" ht="15.75" customHeight="1" x14ac:dyDescent="0.35">
      <c r="A42" s="123"/>
      <c r="B42" s="129">
        <v>3982</v>
      </c>
      <c r="C42" s="170">
        <v>45396</v>
      </c>
      <c r="D42" s="136" t="s">
        <v>230</v>
      </c>
      <c r="E42" s="187">
        <v>-300</v>
      </c>
      <c r="F42" s="187">
        <f t="shared" si="1"/>
        <v>24536.210000000003</v>
      </c>
      <c r="G42" s="140"/>
      <c r="H42" s="198">
        <f t="shared" si="0"/>
        <v>-300</v>
      </c>
      <c r="I42" s="165"/>
      <c r="J42" s="138"/>
      <c r="K42" s="165"/>
      <c r="L42" s="161"/>
      <c r="M42" s="218"/>
    </row>
    <row r="43" spans="1:13" ht="15.75" customHeight="1" x14ac:dyDescent="0.35">
      <c r="A43" s="123"/>
      <c r="B43" s="129">
        <v>3982</v>
      </c>
      <c r="C43" s="170">
        <v>45397</v>
      </c>
      <c r="D43" s="136" t="s">
        <v>103</v>
      </c>
      <c r="E43" s="187">
        <v>1487</v>
      </c>
      <c r="F43" s="187">
        <f t="shared" si="1"/>
        <v>26023.210000000003</v>
      </c>
      <c r="G43" s="140"/>
      <c r="H43" s="198">
        <f t="shared" si="0"/>
        <v>1487</v>
      </c>
      <c r="I43" s="165"/>
      <c r="J43" s="138"/>
      <c r="K43" s="165"/>
      <c r="L43" s="161"/>
    </row>
    <row r="44" spans="1:13" ht="15.75" customHeight="1" x14ac:dyDescent="0.35">
      <c r="A44" s="123"/>
      <c r="B44" s="137" t="s">
        <v>234</v>
      </c>
      <c r="C44" s="170">
        <v>45404</v>
      </c>
      <c r="D44" s="136" t="s">
        <v>233</v>
      </c>
      <c r="E44" s="187">
        <v>-61.26</v>
      </c>
      <c r="F44" s="187">
        <f t="shared" si="1"/>
        <v>25961.950000000004</v>
      </c>
      <c r="G44" s="140"/>
      <c r="H44" s="198">
        <f t="shared" si="0"/>
        <v>-61.26</v>
      </c>
      <c r="I44" s="165"/>
      <c r="J44" s="138"/>
      <c r="K44" s="165"/>
      <c r="L44" s="161"/>
    </row>
    <row r="45" spans="1:13" ht="15.75" customHeight="1" x14ac:dyDescent="0.35">
      <c r="A45" s="123"/>
      <c r="B45" s="129">
        <v>3983</v>
      </c>
      <c r="C45" s="170">
        <v>45405</v>
      </c>
      <c r="D45" s="136" t="s">
        <v>210</v>
      </c>
      <c r="E45" s="187">
        <v>-924.38</v>
      </c>
      <c r="F45" s="187">
        <f t="shared" si="1"/>
        <v>25037.570000000003</v>
      </c>
      <c r="G45" s="140"/>
      <c r="H45" s="198">
        <f t="shared" si="0"/>
        <v>-924.38</v>
      </c>
      <c r="I45" s="165"/>
      <c r="J45" s="138"/>
      <c r="K45" s="165"/>
      <c r="L45" s="161"/>
    </row>
    <row r="46" spans="1:13" ht="15.75" customHeight="1" x14ac:dyDescent="0.35">
      <c r="A46" s="123"/>
      <c r="B46" s="129">
        <v>3984</v>
      </c>
      <c r="C46" s="170">
        <v>45412</v>
      </c>
      <c r="D46" s="136" t="s">
        <v>231</v>
      </c>
      <c r="E46" s="187">
        <v>-36.4</v>
      </c>
      <c r="F46" s="187">
        <f t="shared" si="1"/>
        <v>25001.170000000002</v>
      </c>
      <c r="G46" s="140"/>
      <c r="H46" s="198">
        <f t="shared" si="0"/>
        <v>-36.4</v>
      </c>
      <c r="I46" s="165"/>
      <c r="J46" s="138"/>
      <c r="K46" s="165">
        <v>-11.4</v>
      </c>
      <c r="L46" s="161">
        <f>+H46-K46</f>
        <v>-25</v>
      </c>
    </row>
    <row r="47" spans="1:13" ht="15.75" customHeight="1" x14ac:dyDescent="0.35">
      <c r="A47" s="123"/>
      <c r="B47" s="216"/>
      <c r="C47" s="170">
        <v>45412</v>
      </c>
      <c r="D47" s="136" t="s">
        <v>103</v>
      </c>
      <c r="E47" s="187">
        <v>771.1</v>
      </c>
      <c r="F47" s="187">
        <f t="shared" si="1"/>
        <v>25772.27</v>
      </c>
      <c r="G47" s="140"/>
      <c r="H47" s="198">
        <f t="shared" si="0"/>
        <v>771.1</v>
      </c>
      <c r="I47" s="165"/>
      <c r="J47" s="138"/>
      <c r="K47" s="165"/>
      <c r="L47" s="161"/>
    </row>
    <row r="48" spans="1:13" ht="15.75" customHeight="1" x14ac:dyDescent="0.35">
      <c r="A48" s="123"/>
      <c r="B48" s="129"/>
      <c r="C48" s="170">
        <v>45412</v>
      </c>
      <c r="D48" s="136" t="s">
        <v>232</v>
      </c>
      <c r="E48" s="187">
        <v>6080</v>
      </c>
      <c r="F48" s="187">
        <f t="shared" si="1"/>
        <v>31852.27</v>
      </c>
      <c r="G48" s="140"/>
      <c r="H48" s="198">
        <f t="shared" si="0"/>
        <v>6080</v>
      </c>
      <c r="I48" s="165"/>
      <c r="J48" s="138"/>
      <c r="K48" s="165"/>
      <c r="L48" s="161"/>
    </row>
    <row r="49" spans="1:12" ht="15.75" customHeight="1" x14ac:dyDescent="0.35">
      <c r="A49" s="123"/>
      <c r="B49" s="129"/>
      <c r="C49" s="170">
        <v>45412</v>
      </c>
      <c r="D49" s="136" t="s">
        <v>103</v>
      </c>
      <c r="E49" s="187">
        <v>840</v>
      </c>
      <c r="F49" s="187">
        <f t="shared" si="1"/>
        <v>32692.27</v>
      </c>
      <c r="G49" s="140"/>
      <c r="H49" s="198">
        <v>840</v>
      </c>
      <c r="I49" s="165"/>
      <c r="J49" s="138"/>
      <c r="K49" s="165"/>
      <c r="L49" s="161"/>
    </row>
    <row r="50" spans="1:12" ht="15.75" customHeight="1" x14ac:dyDescent="0.35">
      <c r="A50" s="123"/>
      <c r="B50" s="129"/>
      <c r="C50" s="170">
        <v>45415</v>
      </c>
      <c r="D50" s="136" t="s">
        <v>102</v>
      </c>
      <c r="E50" s="187">
        <v>-30.18</v>
      </c>
      <c r="F50" s="187">
        <f t="shared" si="1"/>
        <v>32662.09</v>
      </c>
      <c r="G50" s="140"/>
      <c r="H50" s="198">
        <v>-30.18</v>
      </c>
      <c r="I50" s="165"/>
      <c r="J50" s="138"/>
      <c r="K50" s="165"/>
      <c r="L50" s="161"/>
    </row>
    <row r="51" spans="1:12" ht="15.75" customHeight="1" x14ac:dyDescent="0.35">
      <c r="A51" s="123"/>
      <c r="B51" s="129">
        <v>3985</v>
      </c>
      <c r="C51" s="170">
        <v>45415</v>
      </c>
      <c r="D51" s="136" t="s">
        <v>246</v>
      </c>
      <c r="E51" s="187">
        <v>-16.8</v>
      </c>
      <c r="F51" s="187">
        <f t="shared" si="1"/>
        <v>32645.29</v>
      </c>
      <c r="G51" s="140"/>
      <c r="H51" s="198">
        <v>-16.8</v>
      </c>
      <c r="I51" s="165"/>
      <c r="J51" s="138"/>
      <c r="K51" s="165">
        <v>-16.8</v>
      </c>
      <c r="L51" s="161">
        <f>+H51-K51</f>
        <v>0</v>
      </c>
    </row>
    <row r="52" spans="1:12" ht="15.75" customHeight="1" x14ac:dyDescent="0.35">
      <c r="A52" s="123"/>
      <c r="B52" s="129">
        <v>3986</v>
      </c>
      <c r="C52" s="170">
        <v>45427</v>
      </c>
      <c r="D52" s="136" t="s">
        <v>247</v>
      </c>
      <c r="E52" s="187">
        <v>-238.66</v>
      </c>
      <c r="F52" s="187">
        <f t="shared" si="1"/>
        <v>32406.63</v>
      </c>
      <c r="G52" s="140"/>
      <c r="H52" s="198">
        <f>+E52</f>
        <v>-238.66</v>
      </c>
      <c r="I52" s="165"/>
      <c r="J52" s="138"/>
      <c r="K52" s="165"/>
      <c r="L52" s="161"/>
    </row>
    <row r="53" spans="1:12" ht="15.75" customHeight="1" x14ac:dyDescent="0.35">
      <c r="A53" s="123"/>
      <c r="B53" s="129">
        <v>3987</v>
      </c>
      <c r="C53" s="170">
        <v>45436</v>
      </c>
      <c r="D53" s="136" t="s">
        <v>248</v>
      </c>
      <c r="E53" s="187">
        <v>-110</v>
      </c>
      <c r="F53" s="187">
        <f t="shared" si="1"/>
        <v>32296.63</v>
      </c>
      <c r="G53" s="140"/>
      <c r="H53" s="198">
        <f t="shared" ref="H53:H54" si="3">+E53</f>
        <v>-110</v>
      </c>
      <c r="I53" s="165"/>
      <c r="J53" s="138"/>
      <c r="K53" s="165"/>
      <c r="L53" s="161"/>
    </row>
    <row r="54" spans="1:12" ht="15.75" customHeight="1" x14ac:dyDescent="0.35">
      <c r="A54" s="123"/>
      <c r="B54" s="129">
        <v>3988</v>
      </c>
      <c r="C54" s="170">
        <v>45436</v>
      </c>
      <c r="D54" s="136" t="s">
        <v>249</v>
      </c>
      <c r="E54" s="187">
        <v>-1250</v>
      </c>
      <c r="F54" s="187">
        <f t="shared" si="1"/>
        <v>31046.63</v>
      </c>
      <c r="G54" s="140"/>
      <c r="H54" s="198">
        <f t="shared" si="3"/>
        <v>-1250</v>
      </c>
      <c r="I54" s="165"/>
      <c r="J54" s="138"/>
      <c r="K54" s="165"/>
      <c r="L54" s="161"/>
    </row>
    <row r="55" spans="1:12" ht="15.75" customHeight="1" x14ac:dyDescent="0.35">
      <c r="A55" s="123"/>
      <c r="B55" s="129"/>
      <c r="C55" s="170">
        <v>45436</v>
      </c>
      <c r="D55" s="136" t="s">
        <v>103</v>
      </c>
      <c r="E55" s="187">
        <f>445-20</f>
        <v>425</v>
      </c>
      <c r="F55" s="187">
        <f t="shared" si="1"/>
        <v>31471.63</v>
      </c>
      <c r="G55" s="140"/>
      <c r="H55" s="198">
        <f>+E55</f>
        <v>425</v>
      </c>
      <c r="I55" s="165"/>
      <c r="J55" s="138"/>
      <c r="K55" s="165"/>
      <c r="L55" s="161"/>
    </row>
    <row r="56" spans="1:12" ht="15.75" customHeight="1" x14ac:dyDescent="0.35">
      <c r="A56" s="123"/>
      <c r="B56" s="129"/>
      <c r="C56" s="170">
        <v>45436</v>
      </c>
      <c r="D56" s="136" t="s">
        <v>253</v>
      </c>
      <c r="E56" s="187">
        <f>17+8.5</f>
        <v>25.5</v>
      </c>
      <c r="F56" s="187">
        <f t="shared" si="1"/>
        <v>31497.13</v>
      </c>
      <c r="G56" s="140"/>
      <c r="H56" s="198">
        <f>+E56</f>
        <v>25.5</v>
      </c>
      <c r="I56" s="165"/>
      <c r="J56" s="138"/>
      <c r="K56" s="165"/>
      <c r="L56" s="161"/>
    </row>
    <row r="57" spans="1:12" ht="15.75" customHeight="1" x14ac:dyDescent="0.35">
      <c r="A57" s="123"/>
      <c r="B57" s="129"/>
      <c r="C57" s="170">
        <v>45436</v>
      </c>
      <c r="D57" s="136" t="s">
        <v>233</v>
      </c>
      <c r="E57" s="187">
        <v>-61.26</v>
      </c>
      <c r="F57" s="187">
        <f t="shared" si="1"/>
        <v>31435.870000000003</v>
      </c>
      <c r="G57" s="140"/>
      <c r="H57" s="198">
        <f>+E57</f>
        <v>-61.26</v>
      </c>
      <c r="I57" s="165"/>
      <c r="J57" s="138"/>
      <c r="K57" s="165"/>
      <c r="L57" s="161"/>
    </row>
    <row r="58" spans="1:12" ht="15.75" customHeight="1" x14ac:dyDescent="0.35">
      <c r="A58" s="123"/>
      <c r="B58" s="129">
        <v>3989</v>
      </c>
      <c r="C58" s="170">
        <v>45441</v>
      </c>
      <c r="D58" s="136" t="s">
        <v>255</v>
      </c>
      <c r="E58" s="187">
        <v>-139.01</v>
      </c>
      <c r="F58" s="187">
        <f t="shared" si="1"/>
        <v>31296.860000000004</v>
      </c>
      <c r="G58" s="140"/>
      <c r="H58" s="198">
        <f t="shared" ref="H58:H120" si="4">+E58</f>
        <v>-139.01</v>
      </c>
      <c r="I58" s="165"/>
      <c r="J58" s="138"/>
      <c r="K58" s="165">
        <v>-40.799999999999997</v>
      </c>
      <c r="L58" s="161">
        <f>+H58-K58</f>
        <v>-98.21</v>
      </c>
    </row>
    <row r="59" spans="1:12" ht="15.75" customHeight="1" x14ac:dyDescent="0.35">
      <c r="A59" s="123"/>
      <c r="B59" s="129"/>
      <c r="C59" s="170">
        <v>45442</v>
      </c>
      <c r="D59" s="136" t="s">
        <v>103</v>
      </c>
      <c r="E59" s="187">
        <f>1691.81-8.5</f>
        <v>1683.31</v>
      </c>
      <c r="F59" s="187">
        <f t="shared" si="1"/>
        <v>32980.170000000006</v>
      </c>
      <c r="G59" s="140"/>
      <c r="H59" s="198">
        <f t="shared" si="4"/>
        <v>1683.31</v>
      </c>
      <c r="I59" s="165"/>
      <c r="J59" s="138"/>
      <c r="K59" s="165"/>
      <c r="L59" s="161"/>
    </row>
    <row r="60" spans="1:12" ht="15.75" customHeight="1" x14ac:dyDescent="0.35">
      <c r="A60" s="123"/>
      <c r="B60" s="129"/>
      <c r="C60" s="170">
        <v>45442</v>
      </c>
      <c r="D60" s="136" t="s">
        <v>256</v>
      </c>
      <c r="E60" s="187">
        <v>8.5</v>
      </c>
      <c r="F60" s="187">
        <f t="shared" si="1"/>
        <v>32988.670000000006</v>
      </c>
      <c r="G60" s="140"/>
      <c r="H60" s="198">
        <f t="shared" si="4"/>
        <v>8.5</v>
      </c>
      <c r="I60" s="165"/>
      <c r="J60" s="138"/>
      <c r="K60" s="165"/>
      <c r="L60" s="161"/>
    </row>
    <row r="61" spans="1:12" ht="15.75" customHeight="1" x14ac:dyDescent="0.35">
      <c r="A61" s="123"/>
      <c r="B61" s="129"/>
      <c r="C61" s="170">
        <v>45444</v>
      </c>
      <c r="D61" s="136" t="s">
        <v>262</v>
      </c>
      <c r="E61" s="187">
        <v>-31.89</v>
      </c>
      <c r="F61" s="187">
        <f t="shared" si="1"/>
        <v>32956.780000000006</v>
      </c>
      <c r="G61" s="140"/>
      <c r="H61" s="198">
        <f t="shared" si="4"/>
        <v>-31.89</v>
      </c>
      <c r="I61" s="165"/>
      <c r="J61" s="138"/>
      <c r="K61" s="165"/>
      <c r="L61" s="161"/>
    </row>
    <row r="62" spans="1:12" ht="15.75" customHeight="1" x14ac:dyDescent="0.35">
      <c r="A62" s="123"/>
      <c r="B62" s="129">
        <v>3990</v>
      </c>
      <c r="C62" s="170">
        <v>45444</v>
      </c>
      <c r="D62" s="136" t="s">
        <v>259</v>
      </c>
      <c r="E62" s="187">
        <v>-44</v>
      </c>
      <c r="F62" s="187">
        <f t="shared" si="1"/>
        <v>32912.780000000006</v>
      </c>
      <c r="G62" s="140"/>
      <c r="H62" s="198">
        <f t="shared" si="4"/>
        <v>-44</v>
      </c>
      <c r="I62" s="165"/>
      <c r="J62" s="138"/>
      <c r="K62" s="165"/>
      <c r="L62" s="161"/>
    </row>
    <row r="63" spans="1:12" ht="15.75" customHeight="1" x14ac:dyDescent="0.35">
      <c r="A63" s="123"/>
      <c r="B63" s="129"/>
      <c r="C63" s="170">
        <v>45448</v>
      </c>
      <c r="D63" s="136" t="s">
        <v>102</v>
      </c>
      <c r="E63" s="187">
        <v>-21.53</v>
      </c>
      <c r="F63" s="187">
        <f t="shared" si="1"/>
        <v>32891.250000000007</v>
      </c>
      <c r="G63" s="140"/>
      <c r="H63" s="198">
        <f t="shared" si="4"/>
        <v>-21.53</v>
      </c>
      <c r="I63" s="165"/>
      <c r="J63" s="138"/>
      <c r="K63" s="165"/>
      <c r="L63" s="161"/>
    </row>
    <row r="64" spans="1:12" ht="15.75" customHeight="1" x14ac:dyDescent="0.35">
      <c r="A64" s="123"/>
      <c r="B64" s="129">
        <v>3991</v>
      </c>
      <c r="C64" s="170">
        <v>45459</v>
      </c>
      <c r="D64" s="136" t="s">
        <v>210</v>
      </c>
      <c r="E64" s="187">
        <v>-422.01</v>
      </c>
      <c r="F64" s="187">
        <f t="shared" si="1"/>
        <v>32469.240000000009</v>
      </c>
      <c r="G64" s="140"/>
      <c r="H64" s="198">
        <f t="shared" si="4"/>
        <v>-422.01</v>
      </c>
      <c r="I64" s="165"/>
      <c r="J64" s="138"/>
      <c r="K64" s="165">
        <v>-45.6</v>
      </c>
      <c r="L64" s="161">
        <f>+H64-K64</f>
        <v>-376.40999999999997</v>
      </c>
    </row>
    <row r="65" spans="1:12" ht="15.75" customHeight="1" x14ac:dyDescent="0.35">
      <c r="A65" s="123"/>
      <c r="B65" s="129">
        <v>3992</v>
      </c>
      <c r="C65" s="170">
        <v>45459</v>
      </c>
      <c r="D65" s="136" t="s">
        <v>260</v>
      </c>
      <c r="E65" s="187">
        <v>-583.5</v>
      </c>
      <c r="F65" s="187">
        <f t="shared" si="1"/>
        <v>31885.740000000009</v>
      </c>
      <c r="G65" s="140"/>
      <c r="H65" s="198">
        <f t="shared" si="4"/>
        <v>-583.5</v>
      </c>
      <c r="I65" s="165"/>
      <c r="J65" s="138"/>
      <c r="K65" s="165"/>
      <c r="L65" s="161"/>
    </row>
    <row r="66" spans="1:12" ht="15.75" customHeight="1" x14ac:dyDescent="0.35">
      <c r="A66" s="123"/>
      <c r="B66" s="129">
        <v>3993</v>
      </c>
      <c r="C66" s="170">
        <v>45459</v>
      </c>
      <c r="D66" s="136" t="s">
        <v>261</v>
      </c>
      <c r="E66" s="187">
        <v>-62</v>
      </c>
      <c r="F66" s="187">
        <f t="shared" si="1"/>
        <v>31823.740000000009</v>
      </c>
      <c r="G66" s="140"/>
      <c r="H66" s="198">
        <f t="shared" si="4"/>
        <v>-62</v>
      </c>
      <c r="I66" s="165"/>
      <c r="J66" s="138"/>
      <c r="K66" s="165"/>
      <c r="L66" s="161"/>
    </row>
    <row r="67" spans="1:12" ht="15.75" customHeight="1" x14ac:dyDescent="0.35">
      <c r="A67" s="123"/>
      <c r="B67" s="129">
        <v>3994</v>
      </c>
      <c r="C67" s="170">
        <v>45459</v>
      </c>
      <c r="D67" s="136" t="s">
        <v>345</v>
      </c>
      <c r="E67" s="187">
        <v>-3000</v>
      </c>
      <c r="F67" s="187">
        <f t="shared" si="1"/>
        <v>28823.740000000009</v>
      </c>
      <c r="G67" s="140"/>
      <c r="H67" s="198">
        <f t="shared" si="4"/>
        <v>-3000</v>
      </c>
      <c r="I67" s="165"/>
      <c r="J67" s="138"/>
      <c r="K67" s="165"/>
      <c r="L67" s="161"/>
    </row>
    <row r="68" spans="1:12" ht="15.75" customHeight="1" x14ac:dyDescent="0.35">
      <c r="A68" s="123"/>
      <c r="B68" s="129"/>
      <c r="C68" s="170">
        <v>45464</v>
      </c>
      <c r="D68" s="136" t="s">
        <v>263</v>
      </c>
      <c r="E68" s="187">
        <v>-13.6</v>
      </c>
      <c r="F68" s="187">
        <f t="shared" si="1"/>
        <v>28810.14000000001</v>
      </c>
      <c r="G68" s="140"/>
      <c r="H68" s="198">
        <f t="shared" si="4"/>
        <v>-13.6</v>
      </c>
      <c r="I68" s="165"/>
      <c r="J68" s="138"/>
      <c r="K68" s="165"/>
      <c r="L68" s="161"/>
    </row>
    <row r="69" spans="1:12" ht="15.75" customHeight="1" x14ac:dyDescent="0.35">
      <c r="A69" s="123"/>
      <c r="B69" s="129">
        <v>3995</v>
      </c>
      <c r="C69" s="170">
        <v>45471</v>
      </c>
      <c r="D69" s="136" t="s">
        <v>264</v>
      </c>
      <c r="E69" s="187">
        <v>-110</v>
      </c>
      <c r="F69" s="187">
        <f t="shared" si="1"/>
        <v>28700.14000000001</v>
      </c>
      <c r="G69" s="140"/>
      <c r="H69" s="198">
        <f t="shared" si="4"/>
        <v>-110</v>
      </c>
      <c r="I69" s="165"/>
      <c r="J69" s="138"/>
      <c r="K69" s="165"/>
      <c r="L69" s="161"/>
    </row>
    <row r="70" spans="1:12" ht="15.75" customHeight="1" x14ac:dyDescent="0.35">
      <c r="A70" s="123"/>
      <c r="B70" s="129"/>
      <c r="C70" s="170">
        <v>45471</v>
      </c>
      <c r="D70" s="136" t="s">
        <v>103</v>
      </c>
      <c r="E70" s="187">
        <v>2567</v>
      </c>
      <c r="F70" s="187">
        <f t="shared" si="1"/>
        <v>31267.14000000001</v>
      </c>
      <c r="G70" s="140"/>
      <c r="H70" s="198">
        <f t="shared" si="4"/>
        <v>2567</v>
      </c>
      <c r="I70" s="165"/>
      <c r="J70" s="138"/>
      <c r="K70" s="165"/>
      <c r="L70" s="161"/>
    </row>
    <row r="71" spans="1:12" ht="15.75" customHeight="1" x14ac:dyDescent="0.35">
      <c r="A71" s="123"/>
      <c r="B71" s="129"/>
      <c r="C71" s="170">
        <v>45471</v>
      </c>
      <c r="D71" s="136" t="s">
        <v>265</v>
      </c>
      <c r="E71" s="187">
        <v>2500</v>
      </c>
      <c r="F71" s="187">
        <f t="shared" si="1"/>
        <v>33767.140000000014</v>
      </c>
      <c r="G71" s="140"/>
      <c r="H71" s="198">
        <f t="shared" si="4"/>
        <v>2500</v>
      </c>
      <c r="I71" s="165"/>
      <c r="J71" s="138"/>
      <c r="K71" s="165"/>
      <c r="L71" s="161"/>
    </row>
    <row r="72" spans="1:12" ht="15.75" customHeight="1" x14ac:dyDescent="0.35">
      <c r="A72" s="123"/>
      <c r="B72" s="129"/>
      <c r="C72" s="170">
        <v>45476</v>
      </c>
      <c r="D72" s="136" t="s">
        <v>102</v>
      </c>
      <c r="E72" s="187">
        <v>-29.86</v>
      </c>
      <c r="F72" s="187">
        <f t="shared" si="1"/>
        <v>33737.280000000013</v>
      </c>
      <c r="G72" s="140"/>
      <c r="H72" s="198">
        <f t="shared" si="4"/>
        <v>-29.86</v>
      </c>
      <c r="I72" s="165"/>
      <c r="J72" s="138"/>
      <c r="K72" s="165"/>
      <c r="L72" s="161"/>
    </row>
    <row r="73" spans="1:12" ht="15.75" customHeight="1" x14ac:dyDescent="0.35">
      <c r="A73" s="123"/>
      <c r="B73" s="129">
        <v>3996</v>
      </c>
      <c r="C73" s="170">
        <v>45481</v>
      </c>
      <c r="D73" s="136" t="s">
        <v>287</v>
      </c>
      <c r="E73" s="187">
        <v>-36.479999999999997</v>
      </c>
      <c r="F73" s="187">
        <f t="shared" si="1"/>
        <v>33700.80000000001</v>
      </c>
      <c r="G73" s="140"/>
      <c r="H73" s="198">
        <f t="shared" si="4"/>
        <v>-36.479999999999997</v>
      </c>
      <c r="I73" s="165"/>
      <c r="J73" s="138"/>
      <c r="K73" s="165"/>
      <c r="L73" s="161"/>
    </row>
    <row r="74" spans="1:12" ht="15.75" customHeight="1" x14ac:dyDescent="0.35">
      <c r="A74" s="123"/>
      <c r="B74" s="129"/>
      <c r="C74" s="170">
        <v>45488</v>
      </c>
      <c r="D74" s="136" t="s">
        <v>103</v>
      </c>
      <c r="E74" s="187">
        <v>1004</v>
      </c>
      <c r="F74" s="187">
        <f t="shared" ref="F74:F127" si="5">+F73+E74</f>
        <v>34704.80000000001</v>
      </c>
      <c r="G74" s="140"/>
      <c r="H74" s="198">
        <f t="shared" si="4"/>
        <v>1004</v>
      </c>
      <c r="I74" s="165"/>
      <c r="J74" s="138"/>
      <c r="K74" s="165"/>
      <c r="L74" s="161"/>
    </row>
    <row r="75" spans="1:12" ht="15.75" customHeight="1" x14ac:dyDescent="0.35">
      <c r="A75" s="123"/>
      <c r="B75" s="129">
        <v>3997</v>
      </c>
      <c r="C75" s="170">
        <v>45492</v>
      </c>
      <c r="D75" s="136" t="s">
        <v>288</v>
      </c>
      <c r="E75" s="187">
        <v>-270.52999999999997</v>
      </c>
      <c r="F75" s="187">
        <f t="shared" si="5"/>
        <v>34434.270000000011</v>
      </c>
      <c r="G75" s="140"/>
      <c r="H75" s="198">
        <f t="shared" si="4"/>
        <v>-270.52999999999997</v>
      </c>
      <c r="I75" s="165"/>
      <c r="J75" s="138"/>
      <c r="K75" s="165"/>
      <c r="L75" s="161"/>
    </row>
    <row r="76" spans="1:12" ht="15.75" customHeight="1" x14ac:dyDescent="0.35">
      <c r="A76" s="123"/>
      <c r="B76" s="129">
        <v>3998</v>
      </c>
      <c r="C76" s="170">
        <v>45495</v>
      </c>
      <c r="D76" s="136" t="s">
        <v>290</v>
      </c>
      <c r="E76" s="187">
        <v>-500</v>
      </c>
      <c r="F76" s="187">
        <f t="shared" si="5"/>
        <v>33934.270000000011</v>
      </c>
      <c r="G76" s="140"/>
      <c r="H76" s="198">
        <f t="shared" si="4"/>
        <v>-500</v>
      </c>
      <c r="I76" s="165"/>
      <c r="J76" s="138"/>
      <c r="K76" s="165"/>
      <c r="L76" s="161"/>
    </row>
    <row r="77" spans="1:12" ht="15.75" customHeight="1" x14ac:dyDescent="0.35">
      <c r="A77" s="123"/>
      <c r="B77" s="129">
        <v>3999</v>
      </c>
      <c r="C77" s="170">
        <v>45495</v>
      </c>
      <c r="D77" s="136" t="s">
        <v>289</v>
      </c>
      <c r="E77" s="187">
        <v>-500</v>
      </c>
      <c r="F77" s="187">
        <f t="shared" si="5"/>
        <v>33434.270000000011</v>
      </c>
      <c r="G77" s="140"/>
      <c r="H77" s="198">
        <f t="shared" si="4"/>
        <v>-500</v>
      </c>
      <c r="I77" s="165"/>
      <c r="J77" s="138"/>
      <c r="K77" s="165"/>
      <c r="L77" s="161"/>
    </row>
    <row r="78" spans="1:12" ht="15.75" customHeight="1" x14ac:dyDescent="0.35">
      <c r="A78" s="123"/>
      <c r="B78" s="129">
        <v>4000</v>
      </c>
      <c r="C78" s="170">
        <v>45495</v>
      </c>
      <c r="D78" s="136" t="s">
        <v>210</v>
      </c>
      <c r="E78" s="187">
        <v>-190.12</v>
      </c>
      <c r="F78" s="187">
        <f t="shared" si="5"/>
        <v>33244.150000000009</v>
      </c>
      <c r="G78" s="140"/>
      <c r="H78" s="198">
        <f t="shared" si="4"/>
        <v>-190.12</v>
      </c>
      <c r="I78" s="165"/>
      <c r="J78" s="138"/>
      <c r="K78" s="165"/>
      <c r="L78" s="161"/>
    </row>
    <row r="79" spans="1:12" ht="15.75" customHeight="1" x14ac:dyDescent="0.35">
      <c r="A79" s="123"/>
      <c r="B79" s="216"/>
      <c r="C79" s="170">
        <v>45496</v>
      </c>
      <c r="D79" s="136" t="s">
        <v>103</v>
      </c>
      <c r="E79" s="187">
        <f>3828.11-3025.45</f>
        <v>802.66000000000031</v>
      </c>
      <c r="F79" s="187">
        <f t="shared" si="5"/>
        <v>34046.810000000012</v>
      </c>
      <c r="G79" s="140"/>
      <c r="H79" s="198">
        <f t="shared" si="4"/>
        <v>802.66000000000031</v>
      </c>
      <c r="I79" s="165"/>
      <c r="J79" s="138"/>
      <c r="K79" s="165"/>
      <c r="L79" s="161"/>
    </row>
    <row r="80" spans="1:12" ht="29" x14ac:dyDescent="0.35">
      <c r="A80" s="123"/>
      <c r="B80" s="129"/>
      <c r="C80" s="170">
        <v>45496</v>
      </c>
      <c r="D80" s="136" t="s">
        <v>291</v>
      </c>
      <c r="E80" s="187">
        <v>3025.45</v>
      </c>
      <c r="F80" s="187">
        <f t="shared" si="5"/>
        <v>37072.260000000009</v>
      </c>
      <c r="G80" s="140"/>
      <c r="H80" s="198">
        <f t="shared" si="4"/>
        <v>3025.45</v>
      </c>
      <c r="I80" s="165"/>
      <c r="J80" s="138"/>
      <c r="K80" s="165"/>
      <c r="L80" s="161"/>
    </row>
    <row r="81" spans="1:12" ht="15.5" x14ac:dyDescent="0.35">
      <c r="A81" s="123"/>
      <c r="B81" s="129"/>
      <c r="C81" s="170">
        <v>45497</v>
      </c>
      <c r="D81" s="136" t="s">
        <v>300</v>
      </c>
      <c r="E81" s="187">
        <v>17</v>
      </c>
      <c r="F81" s="187">
        <f t="shared" si="5"/>
        <v>37089.260000000009</v>
      </c>
      <c r="G81" s="140"/>
      <c r="H81" s="198">
        <f t="shared" si="4"/>
        <v>17</v>
      </c>
      <c r="I81" s="165"/>
      <c r="J81" s="138"/>
      <c r="K81" s="165"/>
      <c r="L81" s="161"/>
    </row>
    <row r="82" spans="1:12" ht="15.75" customHeight="1" x14ac:dyDescent="0.35">
      <c r="A82" s="123"/>
      <c r="B82" s="129">
        <v>4001</v>
      </c>
      <c r="C82" s="170">
        <v>45497</v>
      </c>
      <c r="D82" s="136" t="s">
        <v>292</v>
      </c>
      <c r="E82" s="187">
        <v>-208.05</v>
      </c>
      <c r="F82" s="187">
        <f t="shared" si="5"/>
        <v>36881.210000000006</v>
      </c>
      <c r="G82" s="140"/>
      <c r="H82" s="198">
        <f t="shared" si="4"/>
        <v>-208.05</v>
      </c>
      <c r="I82" s="165"/>
      <c r="J82" s="138"/>
      <c r="K82" s="165"/>
      <c r="L82" s="161"/>
    </row>
    <row r="83" spans="1:12" ht="15.75" customHeight="1" x14ac:dyDescent="0.35">
      <c r="A83" s="123"/>
      <c r="B83" s="129">
        <v>4002</v>
      </c>
      <c r="C83" s="170">
        <v>45497</v>
      </c>
      <c r="D83" s="136" t="s">
        <v>293</v>
      </c>
      <c r="E83" s="187">
        <v>-4000</v>
      </c>
      <c r="F83" s="187">
        <f t="shared" si="5"/>
        <v>32881.210000000006</v>
      </c>
      <c r="G83" s="140"/>
      <c r="H83" s="198">
        <f t="shared" si="4"/>
        <v>-4000</v>
      </c>
      <c r="I83" s="165"/>
      <c r="J83" s="138"/>
      <c r="K83" s="165"/>
      <c r="L83" s="161"/>
    </row>
    <row r="84" spans="1:12" ht="15.75" customHeight="1" x14ac:dyDescent="0.35">
      <c r="A84" s="123"/>
      <c r="B84" s="129">
        <v>4003</v>
      </c>
      <c r="C84" s="170">
        <v>45504</v>
      </c>
      <c r="D84" s="136" t="s">
        <v>297</v>
      </c>
      <c r="E84" s="187">
        <v>-80.790000000000006</v>
      </c>
      <c r="F84" s="187">
        <f t="shared" si="5"/>
        <v>32800.420000000006</v>
      </c>
      <c r="G84" s="140"/>
      <c r="H84" s="198">
        <f t="shared" si="4"/>
        <v>-80.790000000000006</v>
      </c>
      <c r="I84" s="165"/>
      <c r="J84" s="138"/>
      <c r="K84" s="165"/>
      <c r="L84" s="161"/>
    </row>
    <row r="85" spans="1:12" ht="15.75" customHeight="1" x14ac:dyDescent="0.35">
      <c r="A85" s="123"/>
      <c r="B85" s="129">
        <v>4004</v>
      </c>
      <c r="C85" s="170">
        <v>45504</v>
      </c>
      <c r="D85" s="136" t="s">
        <v>296</v>
      </c>
      <c r="E85" s="187">
        <v>-104.18</v>
      </c>
      <c r="F85" s="187">
        <f t="shared" si="5"/>
        <v>32696.240000000005</v>
      </c>
      <c r="G85" s="140"/>
      <c r="H85" s="198">
        <f t="shared" si="4"/>
        <v>-104.18</v>
      </c>
      <c r="I85" s="165"/>
      <c r="J85" s="138"/>
      <c r="K85" s="165">
        <v>-74.400000000000006</v>
      </c>
      <c r="L85" s="161">
        <f>+H85-K85</f>
        <v>-29.78</v>
      </c>
    </row>
    <row r="86" spans="1:12" ht="15.75" customHeight="1" x14ac:dyDescent="0.35">
      <c r="A86" s="123"/>
      <c r="B86" s="129">
        <v>4005</v>
      </c>
      <c r="C86" s="170">
        <v>45504</v>
      </c>
      <c r="D86" s="136" t="s">
        <v>295</v>
      </c>
      <c r="E86" s="187">
        <v>-16</v>
      </c>
      <c r="F86" s="187">
        <f t="shared" si="5"/>
        <v>32680.240000000005</v>
      </c>
      <c r="G86" s="140"/>
      <c r="H86" s="198">
        <f t="shared" si="4"/>
        <v>-16</v>
      </c>
      <c r="I86" s="165"/>
      <c r="J86" s="138"/>
      <c r="K86" s="165">
        <v>-3</v>
      </c>
      <c r="L86" s="161">
        <f>+H86-K86</f>
        <v>-13</v>
      </c>
    </row>
    <row r="87" spans="1:12" ht="15.75" customHeight="1" x14ac:dyDescent="0.35">
      <c r="A87" s="123"/>
      <c r="B87" s="129">
        <v>4006</v>
      </c>
      <c r="C87" s="170">
        <v>45504</v>
      </c>
      <c r="D87" s="136" t="s">
        <v>294</v>
      </c>
      <c r="E87" s="187">
        <v>-32</v>
      </c>
      <c r="F87" s="187">
        <f t="shared" si="5"/>
        <v>32648.240000000005</v>
      </c>
      <c r="G87" s="140"/>
      <c r="H87" s="198">
        <f t="shared" si="4"/>
        <v>-32</v>
      </c>
      <c r="I87" s="165"/>
      <c r="J87" s="138"/>
      <c r="K87" s="165"/>
      <c r="L87" s="161"/>
    </row>
    <row r="88" spans="1:12" ht="15.75" customHeight="1" x14ac:dyDescent="0.35">
      <c r="A88" s="123"/>
      <c r="B88" s="129"/>
      <c r="C88" s="170">
        <v>45509</v>
      </c>
      <c r="D88" s="136" t="s">
        <v>102</v>
      </c>
      <c r="E88" s="187">
        <v>-21.65</v>
      </c>
      <c r="F88" s="187">
        <f t="shared" si="5"/>
        <v>32626.590000000004</v>
      </c>
      <c r="G88" s="140"/>
      <c r="H88" s="198">
        <f t="shared" si="4"/>
        <v>-21.65</v>
      </c>
      <c r="I88" s="165"/>
      <c r="J88" s="138"/>
      <c r="K88" s="165"/>
      <c r="L88" s="161"/>
    </row>
    <row r="89" spans="1:12" ht="15.75" customHeight="1" x14ac:dyDescent="0.35">
      <c r="A89" s="123"/>
      <c r="B89" s="129"/>
      <c r="C89" s="170">
        <v>45517</v>
      </c>
      <c r="D89" s="136" t="s">
        <v>233</v>
      </c>
      <c r="E89" s="187">
        <v>-52.76</v>
      </c>
      <c r="F89" s="187">
        <f t="shared" si="5"/>
        <v>32573.830000000005</v>
      </c>
      <c r="G89" s="140"/>
      <c r="H89" s="198">
        <f t="shared" si="4"/>
        <v>-52.76</v>
      </c>
      <c r="I89" s="165"/>
      <c r="J89" s="138"/>
      <c r="K89" s="165"/>
      <c r="L89" s="161"/>
    </row>
    <row r="90" spans="1:12" ht="15.75" customHeight="1" x14ac:dyDescent="0.35">
      <c r="A90" s="123"/>
      <c r="B90" s="129"/>
      <c r="C90" s="170">
        <v>45526</v>
      </c>
      <c r="D90" s="136" t="s">
        <v>103</v>
      </c>
      <c r="E90" s="187">
        <v>1239</v>
      </c>
      <c r="F90" s="187">
        <f t="shared" si="5"/>
        <v>33812.83</v>
      </c>
      <c r="G90" s="140"/>
      <c r="H90" s="198">
        <f t="shared" si="4"/>
        <v>1239</v>
      </c>
      <c r="I90" s="165"/>
      <c r="J90" s="138"/>
      <c r="K90" s="165"/>
      <c r="L90" s="161"/>
    </row>
    <row r="91" spans="1:12" ht="15.75" customHeight="1" x14ac:dyDescent="0.35">
      <c r="A91" s="123"/>
      <c r="B91" s="241"/>
      <c r="C91" s="170">
        <v>45526</v>
      </c>
      <c r="D91" s="136" t="s">
        <v>298</v>
      </c>
      <c r="E91" s="187">
        <v>292.8</v>
      </c>
      <c r="F91" s="187">
        <f t="shared" si="5"/>
        <v>34105.630000000005</v>
      </c>
      <c r="G91" s="140"/>
      <c r="H91" s="198">
        <f t="shared" si="4"/>
        <v>292.8</v>
      </c>
      <c r="I91" s="165"/>
      <c r="J91" s="138"/>
      <c r="K91" s="165"/>
      <c r="L91" s="161"/>
    </row>
    <row r="92" spans="1:12" ht="15.75" customHeight="1" x14ac:dyDescent="0.35">
      <c r="A92" s="123"/>
      <c r="B92" s="241">
        <v>4007</v>
      </c>
      <c r="C92" s="170">
        <v>45526</v>
      </c>
      <c r="D92" s="136" t="s">
        <v>299</v>
      </c>
      <c r="E92" s="187">
        <v>-292.8</v>
      </c>
      <c r="F92" s="187">
        <f t="shared" si="5"/>
        <v>33812.83</v>
      </c>
      <c r="G92" s="140"/>
      <c r="H92" s="198">
        <f t="shared" si="4"/>
        <v>-292.8</v>
      </c>
      <c r="I92" s="165"/>
      <c r="J92" s="138"/>
      <c r="K92" s="165"/>
      <c r="L92" s="161"/>
    </row>
    <row r="93" spans="1:12" ht="15.75" customHeight="1" x14ac:dyDescent="0.35">
      <c r="A93" s="123"/>
      <c r="B93" s="241"/>
      <c r="C93" s="170">
        <v>45535</v>
      </c>
      <c r="D93" s="136" t="s">
        <v>103</v>
      </c>
      <c r="E93" s="187">
        <v>1175</v>
      </c>
      <c r="F93" s="187">
        <f t="shared" si="5"/>
        <v>34987.83</v>
      </c>
      <c r="G93" s="140"/>
      <c r="H93" s="198">
        <f t="shared" si="4"/>
        <v>1175</v>
      </c>
      <c r="I93" s="165"/>
      <c r="J93" s="138"/>
      <c r="K93" s="165"/>
      <c r="L93" s="161"/>
    </row>
    <row r="94" spans="1:12" ht="15.75" customHeight="1" x14ac:dyDescent="0.35">
      <c r="A94" s="123"/>
      <c r="B94" s="241"/>
      <c r="C94" s="170">
        <v>45539</v>
      </c>
      <c r="D94" s="136" t="s">
        <v>102</v>
      </c>
      <c r="E94" s="187">
        <v>-21.46</v>
      </c>
      <c r="F94" s="187">
        <f t="shared" si="5"/>
        <v>34966.370000000003</v>
      </c>
      <c r="G94" s="140"/>
      <c r="H94" s="198">
        <f t="shared" si="4"/>
        <v>-21.46</v>
      </c>
      <c r="I94" s="165"/>
      <c r="J94" s="138"/>
      <c r="K94" s="165"/>
      <c r="L94" s="161"/>
    </row>
    <row r="95" spans="1:12" ht="15.75" customHeight="1" x14ac:dyDescent="0.35">
      <c r="A95" s="123"/>
      <c r="B95" s="241">
        <v>4008</v>
      </c>
      <c r="C95" s="170">
        <v>45539</v>
      </c>
      <c r="D95" s="136" t="s">
        <v>301</v>
      </c>
      <c r="E95" s="187">
        <v>-194</v>
      </c>
      <c r="F95" s="187">
        <f t="shared" si="5"/>
        <v>34772.370000000003</v>
      </c>
      <c r="G95" s="140"/>
      <c r="H95" s="198">
        <f t="shared" si="4"/>
        <v>-194</v>
      </c>
      <c r="I95" s="165"/>
      <c r="J95" s="138"/>
      <c r="K95" s="165"/>
      <c r="L95" s="161"/>
    </row>
    <row r="96" spans="1:12" ht="29" x14ac:dyDescent="0.35">
      <c r="A96" s="123"/>
      <c r="B96" s="241">
        <v>4009</v>
      </c>
      <c r="C96" s="170">
        <v>45539</v>
      </c>
      <c r="D96" s="136" t="s">
        <v>320</v>
      </c>
      <c r="E96" s="187">
        <v>-202.2</v>
      </c>
      <c r="F96" s="187">
        <f t="shared" si="5"/>
        <v>34570.170000000006</v>
      </c>
      <c r="G96" s="140"/>
      <c r="H96" s="198">
        <f t="shared" si="4"/>
        <v>-202.2</v>
      </c>
      <c r="I96" s="165"/>
      <c r="J96" s="138"/>
      <c r="K96" s="165">
        <v>-202.2</v>
      </c>
      <c r="L96" s="161">
        <f>+H96-K96</f>
        <v>0</v>
      </c>
    </row>
    <row r="97" spans="1:12" ht="15.75" customHeight="1" x14ac:dyDescent="0.35">
      <c r="A97" s="123"/>
      <c r="B97" s="241">
        <v>4010</v>
      </c>
      <c r="C97" s="170">
        <v>45539</v>
      </c>
      <c r="D97" s="136" t="s">
        <v>324</v>
      </c>
      <c r="E97" s="187">
        <v>-50</v>
      </c>
      <c r="F97" s="187">
        <f t="shared" si="5"/>
        <v>34520.170000000006</v>
      </c>
      <c r="G97" s="140"/>
      <c r="H97" s="198">
        <f t="shared" si="4"/>
        <v>-50</v>
      </c>
      <c r="I97" s="165"/>
      <c r="J97" s="138"/>
      <c r="K97" s="165"/>
      <c r="L97" s="161"/>
    </row>
    <row r="98" spans="1:12" ht="15.75" customHeight="1" x14ac:dyDescent="0.35">
      <c r="A98" s="123"/>
      <c r="B98" s="241">
        <v>4011</v>
      </c>
      <c r="C98" s="170">
        <v>45541</v>
      </c>
      <c r="D98" s="136" t="s">
        <v>333</v>
      </c>
      <c r="E98" s="187">
        <v>-49.2</v>
      </c>
      <c r="F98" s="187">
        <f t="shared" si="5"/>
        <v>34470.970000000008</v>
      </c>
      <c r="G98" s="140"/>
      <c r="H98" s="198">
        <f t="shared" si="4"/>
        <v>-49.2</v>
      </c>
      <c r="I98" s="165"/>
      <c r="J98" s="138"/>
      <c r="K98" s="165">
        <v>-49.2</v>
      </c>
      <c r="L98" s="161">
        <f>+H98-K98</f>
        <v>0</v>
      </c>
    </row>
    <row r="99" spans="1:12" ht="15.75" customHeight="1" x14ac:dyDescent="0.35">
      <c r="A99" s="123"/>
      <c r="B99" s="241">
        <v>4012</v>
      </c>
      <c r="C99" s="170">
        <v>45554</v>
      </c>
      <c r="D99" s="136" t="s">
        <v>334</v>
      </c>
      <c r="E99" s="187">
        <v>-181.95</v>
      </c>
      <c r="F99" s="187">
        <f t="shared" si="5"/>
        <v>34289.020000000011</v>
      </c>
      <c r="G99" s="140"/>
      <c r="H99" s="198">
        <f t="shared" si="4"/>
        <v>-181.95</v>
      </c>
      <c r="I99" s="165"/>
      <c r="J99" s="138"/>
      <c r="K99" s="165">
        <v>-25.8</v>
      </c>
      <c r="L99" s="161">
        <f>+H99-K99</f>
        <v>-156.14999999999998</v>
      </c>
    </row>
    <row r="100" spans="1:12" ht="15.75" customHeight="1" x14ac:dyDescent="0.35">
      <c r="A100" s="123"/>
      <c r="B100" s="241">
        <v>4013</v>
      </c>
      <c r="C100" s="170">
        <v>45554</v>
      </c>
      <c r="D100" s="136" t="s">
        <v>335</v>
      </c>
      <c r="E100" s="187">
        <v>-164</v>
      </c>
      <c r="F100" s="187">
        <f t="shared" si="5"/>
        <v>34125.020000000011</v>
      </c>
      <c r="G100" s="140"/>
      <c r="H100" s="198">
        <f t="shared" si="4"/>
        <v>-164</v>
      </c>
      <c r="I100" s="165"/>
      <c r="J100" s="138"/>
      <c r="K100" s="165"/>
      <c r="L100" s="161"/>
    </row>
    <row r="101" spans="1:12" ht="15.75" customHeight="1" x14ac:dyDescent="0.35">
      <c r="A101" s="123"/>
      <c r="B101" s="241">
        <v>4014</v>
      </c>
      <c r="C101" s="170">
        <v>45554</v>
      </c>
      <c r="D101" s="136" t="s">
        <v>336</v>
      </c>
      <c r="E101" s="187">
        <f>-61</f>
        <v>-61</v>
      </c>
      <c r="F101" s="187">
        <f t="shared" si="5"/>
        <v>34064.020000000011</v>
      </c>
      <c r="G101" s="140"/>
      <c r="H101" s="198"/>
      <c r="I101" s="165">
        <f>+E101</f>
        <v>-61</v>
      </c>
      <c r="J101" s="138"/>
      <c r="K101" s="165"/>
      <c r="L101" s="161"/>
    </row>
    <row r="102" spans="1:12" ht="15.75" customHeight="1" x14ac:dyDescent="0.35">
      <c r="A102" s="123"/>
      <c r="B102" s="241">
        <v>4015</v>
      </c>
      <c r="C102" s="170">
        <v>45554</v>
      </c>
      <c r="D102" s="136" t="s">
        <v>338</v>
      </c>
      <c r="E102" s="187">
        <v>-246.53</v>
      </c>
      <c r="F102" s="187">
        <f t="shared" si="5"/>
        <v>33817.490000000013</v>
      </c>
      <c r="G102" s="140"/>
      <c r="H102" s="198">
        <f t="shared" si="4"/>
        <v>-246.53</v>
      </c>
      <c r="I102" s="165"/>
      <c r="J102" s="138"/>
      <c r="K102" s="165"/>
      <c r="L102" s="161"/>
    </row>
    <row r="103" spans="1:12" ht="15.75" customHeight="1" x14ac:dyDescent="0.35">
      <c r="A103" s="123"/>
      <c r="B103" s="242" t="s">
        <v>234</v>
      </c>
      <c r="C103" s="170">
        <v>45555</v>
      </c>
      <c r="D103" s="136" t="s">
        <v>360</v>
      </c>
      <c r="E103" s="187">
        <v>-73</v>
      </c>
      <c r="F103" s="187">
        <f t="shared" si="5"/>
        <v>33744.490000000013</v>
      </c>
      <c r="G103" s="140"/>
      <c r="H103" s="198">
        <f t="shared" si="4"/>
        <v>-73</v>
      </c>
      <c r="I103" s="165"/>
      <c r="J103" s="138"/>
      <c r="K103" s="165"/>
      <c r="L103" s="161"/>
    </row>
    <row r="104" spans="1:12" ht="15.75" customHeight="1" x14ac:dyDescent="0.35">
      <c r="A104" s="123"/>
      <c r="B104" s="241"/>
      <c r="C104" s="170">
        <v>45558</v>
      </c>
      <c r="D104" s="136" t="s">
        <v>103</v>
      </c>
      <c r="E104" s="187">
        <v>1150.5</v>
      </c>
      <c r="F104" s="187">
        <f t="shared" si="5"/>
        <v>34894.990000000013</v>
      </c>
      <c r="G104" s="140"/>
      <c r="H104" s="198">
        <f t="shared" si="4"/>
        <v>1150.5</v>
      </c>
      <c r="I104" s="165"/>
      <c r="J104" s="138"/>
      <c r="K104" s="165"/>
      <c r="L104" s="161"/>
    </row>
    <row r="105" spans="1:12" ht="15.75" customHeight="1" x14ac:dyDescent="0.35">
      <c r="A105" s="123"/>
      <c r="B105" s="241">
        <v>4016</v>
      </c>
      <c r="C105" s="170">
        <v>45560</v>
      </c>
      <c r="D105" s="136" t="s">
        <v>337</v>
      </c>
      <c r="E105" s="187">
        <v>-366.28</v>
      </c>
      <c r="F105" s="187">
        <f t="shared" si="5"/>
        <v>34528.710000000014</v>
      </c>
      <c r="G105" s="140"/>
      <c r="H105" s="198">
        <f t="shared" si="4"/>
        <v>-366.28</v>
      </c>
      <c r="I105" s="165"/>
      <c r="J105" s="138"/>
      <c r="K105" s="165"/>
      <c r="L105" s="161"/>
    </row>
    <row r="106" spans="1:12" ht="15.75" customHeight="1" x14ac:dyDescent="0.35">
      <c r="A106" s="123"/>
      <c r="B106" s="241">
        <v>4017</v>
      </c>
      <c r="C106" s="170">
        <v>45560</v>
      </c>
      <c r="D106" s="136" t="s">
        <v>364</v>
      </c>
      <c r="E106" s="187">
        <f>-100.07+0.03</f>
        <v>-100.03999999999999</v>
      </c>
      <c r="F106" s="187">
        <f t="shared" si="5"/>
        <v>34428.670000000013</v>
      </c>
      <c r="G106" s="140"/>
      <c r="H106" s="198">
        <f t="shared" si="4"/>
        <v>-100.03999999999999</v>
      </c>
      <c r="I106" s="165"/>
      <c r="J106" s="138"/>
      <c r="K106" s="165"/>
      <c r="L106" s="161"/>
    </row>
    <row r="107" spans="1:12" ht="15.75" customHeight="1" x14ac:dyDescent="0.35">
      <c r="A107" s="123"/>
      <c r="B107" s="241">
        <v>4018</v>
      </c>
      <c r="C107" s="170">
        <v>45560</v>
      </c>
      <c r="D107" s="136" t="s">
        <v>339</v>
      </c>
      <c r="E107" s="187">
        <v>-8.9499999999999993</v>
      </c>
      <c r="F107" s="187">
        <f t="shared" si="5"/>
        <v>34419.720000000016</v>
      </c>
      <c r="G107" s="140"/>
      <c r="H107" s="198">
        <f t="shared" si="4"/>
        <v>-8.9499999999999993</v>
      </c>
      <c r="I107" s="165"/>
      <c r="J107" s="138"/>
      <c r="K107" s="165"/>
      <c r="L107" s="161"/>
    </row>
    <row r="108" spans="1:12" ht="15.75" customHeight="1" x14ac:dyDescent="0.35">
      <c r="A108" s="123"/>
      <c r="B108" s="241">
        <v>4019</v>
      </c>
      <c r="C108" s="170">
        <v>45560</v>
      </c>
      <c r="D108" s="136" t="s">
        <v>340</v>
      </c>
      <c r="E108" s="187">
        <v>-135</v>
      </c>
      <c r="F108" s="187">
        <f t="shared" si="5"/>
        <v>34284.720000000016</v>
      </c>
      <c r="G108" s="140"/>
      <c r="H108" s="198">
        <f t="shared" si="4"/>
        <v>-135</v>
      </c>
      <c r="I108" s="165"/>
      <c r="J108" s="138"/>
      <c r="K108" s="165"/>
      <c r="L108" s="161"/>
    </row>
    <row r="109" spans="1:12" ht="15.75" customHeight="1" x14ac:dyDescent="0.35">
      <c r="A109" s="123"/>
      <c r="B109" s="241">
        <v>4020</v>
      </c>
      <c r="C109" s="170">
        <v>45560</v>
      </c>
      <c r="D109" s="136" t="s">
        <v>210</v>
      </c>
      <c r="E109" s="187">
        <v>-686.59</v>
      </c>
      <c r="F109" s="187">
        <f t="shared" si="5"/>
        <v>33598.130000000019</v>
      </c>
      <c r="G109" s="140"/>
      <c r="H109" s="198">
        <f t="shared" si="4"/>
        <v>-686.59</v>
      </c>
      <c r="I109" s="165"/>
      <c r="J109" s="138"/>
      <c r="K109" s="165">
        <v>-30.6</v>
      </c>
      <c r="L109" s="161">
        <f>+H109-K109</f>
        <v>-655.99</v>
      </c>
    </row>
    <row r="110" spans="1:12" ht="15.75" customHeight="1" x14ac:dyDescent="0.35">
      <c r="A110" s="123"/>
      <c r="B110" s="241">
        <v>4021</v>
      </c>
      <c r="C110" s="170">
        <v>45560</v>
      </c>
      <c r="D110" s="136" t="s">
        <v>341</v>
      </c>
      <c r="E110" s="187">
        <v>-466</v>
      </c>
      <c r="F110" s="187">
        <f t="shared" si="5"/>
        <v>33132.130000000019</v>
      </c>
      <c r="G110" s="140"/>
      <c r="H110" s="198">
        <f t="shared" si="4"/>
        <v>-466</v>
      </c>
      <c r="I110" s="165"/>
      <c r="J110" s="138"/>
      <c r="K110" s="165"/>
      <c r="L110" s="161"/>
    </row>
    <row r="111" spans="1:12" ht="15.75" customHeight="1" x14ac:dyDescent="0.35">
      <c r="A111" s="123"/>
      <c r="B111" s="241">
        <v>4022</v>
      </c>
      <c r="C111" s="170">
        <v>45560</v>
      </c>
      <c r="D111" s="136" t="s">
        <v>342</v>
      </c>
      <c r="E111" s="187">
        <v>-194</v>
      </c>
      <c r="F111" s="187">
        <f t="shared" si="5"/>
        <v>32938.130000000019</v>
      </c>
      <c r="G111" s="140"/>
      <c r="H111" s="198">
        <f t="shared" si="4"/>
        <v>-194</v>
      </c>
      <c r="I111" s="165"/>
      <c r="J111" s="138"/>
      <c r="K111" s="165"/>
      <c r="L111" s="161"/>
    </row>
    <row r="112" spans="1:12" ht="29" x14ac:dyDescent="0.35">
      <c r="A112" s="123"/>
      <c r="B112" s="242" t="s">
        <v>343</v>
      </c>
      <c r="C112" s="170">
        <v>45568</v>
      </c>
      <c r="D112" s="136" t="s">
        <v>344</v>
      </c>
      <c r="E112" s="187">
        <v>-2412</v>
      </c>
      <c r="F112" s="187">
        <f t="shared" si="5"/>
        <v>30526.130000000019</v>
      </c>
      <c r="G112" s="140"/>
      <c r="H112" s="198">
        <f t="shared" si="4"/>
        <v>-2412</v>
      </c>
      <c r="I112" s="165"/>
      <c r="J112" s="138"/>
      <c r="K112" s="165"/>
      <c r="L112" s="161"/>
    </row>
    <row r="113" spans="1:12" ht="15.5" x14ac:dyDescent="0.35">
      <c r="A113" s="123"/>
      <c r="B113" s="242" t="s">
        <v>343</v>
      </c>
      <c r="C113" s="170">
        <v>45568</v>
      </c>
      <c r="D113" s="136" t="s">
        <v>102</v>
      </c>
      <c r="E113" s="187">
        <v>-27.12</v>
      </c>
      <c r="F113" s="187">
        <f t="shared" si="5"/>
        <v>30499.01000000002</v>
      </c>
      <c r="G113" s="140"/>
      <c r="H113" s="198">
        <f t="shared" si="4"/>
        <v>-27.12</v>
      </c>
      <c r="I113" s="165"/>
      <c r="J113" s="138"/>
      <c r="K113" s="165"/>
      <c r="L113" s="161"/>
    </row>
    <row r="114" spans="1:12" ht="15.75" customHeight="1" x14ac:dyDescent="0.35">
      <c r="A114" s="123"/>
      <c r="B114" s="242"/>
      <c r="C114" s="170">
        <v>45575</v>
      </c>
      <c r="D114" s="136" t="s">
        <v>103</v>
      </c>
      <c r="E114" s="187">
        <v>1561.92</v>
      </c>
      <c r="F114" s="187">
        <f t="shared" si="5"/>
        <v>32060.930000000022</v>
      </c>
      <c r="G114" s="140"/>
      <c r="H114" s="198">
        <f t="shared" si="4"/>
        <v>1561.92</v>
      </c>
      <c r="I114" s="165"/>
      <c r="J114" s="138"/>
      <c r="K114" s="165"/>
      <c r="L114" s="161"/>
    </row>
    <row r="115" spans="1:12" ht="15.75" customHeight="1" x14ac:dyDescent="0.35">
      <c r="A115" s="123"/>
      <c r="B115" s="241">
        <v>4024</v>
      </c>
      <c r="C115" s="170">
        <v>45589</v>
      </c>
      <c r="D115" s="136" t="s">
        <v>345</v>
      </c>
      <c r="E115" s="187">
        <v>-3000</v>
      </c>
      <c r="F115" s="187">
        <f t="shared" si="5"/>
        <v>29060.930000000022</v>
      </c>
      <c r="G115" s="140"/>
      <c r="H115" s="198">
        <f t="shared" si="4"/>
        <v>-3000</v>
      </c>
      <c r="I115" s="165"/>
      <c r="J115" s="138"/>
      <c r="K115" s="165"/>
      <c r="L115" s="161"/>
    </row>
    <row r="116" spans="1:12" ht="15.75" customHeight="1" x14ac:dyDescent="0.35">
      <c r="A116" s="123"/>
      <c r="B116" s="242" t="s">
        <v>343</v>
      </c>
      <c r="C116" s="170">
        <v>45589</v>
      </c>
      <c r="D116" s="136" t="s">
        <v>346</v>
      </c>
      <c r="E116" s="187">
        <v>-61.15</v>
      </c>
      <c r="F116" s="187">
        <f t="shared" si="5"/>
        <v>28999.780000000021</v>
      </c>
      <c r="G116" s="140"/>
      <c r="H116" s="198">
        <f t="shared" si="4"/>
        <v>-61.15</v>
      </c>
      <c r="I116" s="165"/>
      <c r="J116" s="138"/>
      <c r="K116" s="165"/>
      <c r="L116" s="161"/>
    </row>
    <row r="117" spans="1:12" ht="15.75" customHeight="1" x14ac:dyDescent="0.35">
      <c r="A117" s="123"/>
      <c r="B117" s="242" t="s">
        <v>343</v>
      </c>
      <c r="C117" s="170">
        <v>45589</v>
      </c>
      <c r="D117" s="136" t="s">
        <v>347</v>
      </c>
      <c r="E117" s="187">
        <v>-25.4</v>
      </c>
      <c r="F117" s="187">
        <f t="shared" si="5"/>
        <v>28974.380000000019</v>
      </c>
      <c r="G117" s="140"/>
      <c r="H117" s="198">
        <f t="shared" si="4"/>
        <v>-25.4</v>
      </c>
      <c r="I117" s="165"/>
      <c r="J117" s="138"/>
      <c r="K117" s="165"/>
      <c r="L117" s="161"/>
    </row>
    <row r="118" spans="1:12" ht="15.75" customHeight="1" x14ac:dyDescent="0.35">
      <c r="A118" s="123"/>
      <c r="B118" s="242" t="s">
        <v>343</v>
      </c>
      <c r="C118" s="170">
        <v>45589</v>
      </c>
      <c r="D118" s="136" t="s">
        <v>349</v>
      </c>
      <c r="E118" s="187">
        <f>-13.5+2.5</f>
        <v>-11</v>
      </c>
      <c r="F118" s="187">
        <f t="shared" si="5"/>
        <v>28963.380000000019</v>
      </c>
      <c r="G118" s="140"/>
      <c r="H118" s="198">
        <f t="shared" si="4"/>
        <v>-11</v>
      </c>
      <c r="I118" s="165"/>
      <c r="J118" s="138"/>
      <c r="K118" s="165"/>
      <c r="L118" s="161"/>
    </row>
    <row r="119" spans="1:12" ht="15.75" customHeight="1" x14ac:dyDescent="0.35">
      <c r="A119" s="123"/>
      <c r="B119" s="242" t="s">
        <v>343</v>
      </c>
      <c r="C119" s="170">
        <v>45589</v>
      </c>
      <c r="D119" s="136" t="s">
        <v>348</v>
      </c>
      <c r="E119" s="187">
        <f>-13.5+2.5</f>
        <v>-11</v>
      </c>
      <c r="F119" s="187">
        <f t="shared" si="5"/>
        <v>28952.380000000019</v>
      </c>
      <c r="G119" s="140"/>
      <c r="H119" s="198">
        <f t="shared" si="4"/>
        <v>-11</v>
      </c>
      <c r="I119" s="165"/>
      <c r="J119" s="138"/>
      <c r="K119" s="165"/>
      <c r="L119" s="161"/>
    </row>
    <row r="120" spans="1:12" ht="15.75" customHeight="1" x14ac:dyDescent="0.35">
      <c r="A120" s="123"/>
      <c r="B120" s="241">
        <v>4025</v>
      </c>
      <c r="C120" s="170">
        <v>45593</v>
      </c>
      <c r="D120" s="136" t="s">
        <v>210</v>
      </c>
      <c r="E120" s="187">
        <v>-432.48</v>
      </c>
      <c r="F120" s="187">
        <f t="shared" si="5"/>
        <v>28519.90000000002</v>
      </c>
      <c r="G120" s="140"/>
      <c r="H120" s="198">
        <f t="shared" si="4"/>
        <v>-432.48</v>
      </c>
      <c r="I120" s="165"/>
      <c r="J120" s="138"/>
      <c r="K120" s="165"/>
      <c r="L120" s="161"/>
    </row>
    <row r="121" spans="1:12" ht="15.75" customHeight="1" x14ac:dyDescent="0.35">
      <c r="A121" s="123"/>
      <c r="B121" s="241">
        <v>4026</v>
      </c>
      <c r="C121" s="170">
        <v>45594</v>
      </c>
      <c r="D121" s="136" t="s">
        <v>350</v>
      </c>
      <c r="E121" s="187">
        <v>-2000</v>
      </c>
      <c r="F121" s="187">
        <f t="shared" si="5"/>
        <v>26519.90000000002</v>
      </c>
      <c r="G121" s="140"/>
      <c r="H121" s="198"/>
      <c r="I121" s="165">
        <f>+E121</f>
        <v>-2000</v>
      </c>
      <c r="J121" s="138"/>
      <c r="K121" s="165"/>
      <c r="L121" s="161"/>
    </row>
    <row r="122" spans="1:12" ht="15.75" customHeight="1" x14ac:dyDescent="0.35">
      <c r="A122" s="123"/>
      <c r="B122" s="241">
        <v>4027</v>
      </c>
      <c r="C122" s="170">
        <v>45595</v>
      </c>
      <c r="D122" s="136" t="s">
        <v>351</v>
      </c>
      <c r="E122" s="187">
        <v>-257</v>
      </c>
      <c r="F122" s="187">
        <f t="shared" si="5"/>
        <v>26262.90000000002</v>
      </c>
      <c r="G122" s="140"/>
      <c r="H122" s="198"/>
      <c r="I122" s="165">
        <f>+E122</f>
        <v>-257</v>
      </c>
      <c r="J122" s="138"/>
      <c r="K122" s="165"/>
      <c r="L122" s="161"/>
    </row>
    <row r="123" spans="1:12" ht="15.75" customHeight="1" x14ac:dyDescent="0.35">
      <c r="A123" s="123"/>
      <c r="B123" s="129">
        <v>4028</v>
      </c>
      <c r="C123" s="170">
        <v>45596</v>
      </c>
      <c r="D123" s="136" t="s">
        <v>372</v>
      </c>
      <c r="E123" s="187">
        <v>-68</v>
      </c>
      <c r="F123" s="187">
        <f t="shared" si="5"/>
        <v>26194.90000000002</v>
      </c>
      <c r="G123" s="140"/>
      <c r="H123" s="198"/>
      <c r="I123" s="165">
        <f>+E123</f>
        <v>-68</v>
      </c>
      <c r="J123" s="138"/>
      <c r="K123" s="165"/>
      <c r="L123" s="161"/>
    </row>
    <row r="124" spans="1:12" ht="15.75" customHeight="1" x14ac:dyDescent="0.35">
      <c r="A124" s="123"/>
      <c r="B124" s="129">
        <v>4029</v>
      </c>
      <c r="C124" s="170">
        <v>45596</v>
      </c>
      <c r="D124" s="136" t="s">
        <v>373</v>
      </c>
      <c r="E124" s="187">
        <v>-27.6</v>
      </c>
      <c r="F124" s="187">
        <f t="shared" si="5"/>
        <v>26167.300000000021</v>
      </c>
      <c r="G124" s="140"/>
      <c r="H124" s="198"/>
      <c r="I124" s="165">
        <f t="shared" ref="I124:I125" si="6">+E124</f>
        <v>-27.6</v>
      </c>
      <c r="J124" s="138"/>
      <c r="K124" s="165"/>
      <c r="L124" s="161"/>
    </row>
    <row r="125" spans="1:12" ht="15.75" customHeight="1" x14ac:dyDescent="0.35">
      <c r="A125" s="123"/>
      <c r="B125" s="129"/>
      <c r="C125" s="170">
        <v>45596</v>
      </c>
      <c r="D125" s="136" t="s">
        <v>103</v>
      </c>
      <c r="E125" s="187">
        <v>1968.33</v>
      </c>
      <c r="F125" s="187">
        <f t="shared" si="5"/>
        <v>28135.630000000019</v>
      </c>
      <c r="G125" s="140"/>
      <c r="H125" s="198"/>
      <c r="I125" s="165">
        <f t="shared" si="6"/>
        <v>1968.33</v>
      </c>
      <c r="J125" s="138"/>
      <c r="K125" s="165"/>
      <c r="L125" s="161"/>
    </row>
    <row r="126" spans="1:12" ht="15.75" customHeight="1" x14ac:dyDescent="0.35">
      <c r="A126" s="123"/>
      <c r="B126" s="129"/>
      <c r="C126" s="170"/>
      <c r="D126" s="136"/>
      <c r="E126" s="187"/>
      <c r="F126" s="187">
        <f t="shared" si="5"/>
        <v>28135.630000000019</v>
      </c>
      <c r="G126" s="140"/>
      <c r="H126" s="198"/>
      <c r="I126" s="165"/>
      <c r="J126" s="138"/>
      <c r="K126" s="165"/>
      <c r="L126" s="161"/>
    </row>
    <row r="127" spans="1:12" ht="15.75" customHeight="1" x14ac:dyDescent="0.35">
      <c r="A127" s="123"/>
      <c r="B127" s="129"/>
      <c r="C127" s="170"/>
      <c r="D127" s="136"/>
      <c r="E127" s="187"/>
      <c r="F127" s="187">
        <f t="shared" si="5"/>
        <v>28135.630000000019</v>
      </c>
      <c r="G127" s="140"/>
      <c r="H127" s="198"/>
      <c r="I127" s="165"/>
      <c r="J127" s="138"/>
      <c r="K127" s="165"/>
      <c r="L127" s="161"/>
    </row>
    <row r="128" spans="1:12" ht="15" customHeight="1" x14ac:dyDescent="0.35">
      <c r="A128" s="124"/>
      <c r="B128" s="138"/>
      <c r="C128" s="138"/>
      <c r="D128" s="138"/>
      <c r="E128" s="138"/>
      <c r="F128" s="138"/>
      <c r="G128" s="138"/>
      <c r="H128" s="133"/>
      <c r="I128" s="133"/>
      <c r="K128" s="166"/>
      <c r="L128" s="160"/>
    </row>
    <row r="129" spans="1:12" ht="15" customHeight="1" thickBot="1" x14ac:dyDescent="0.4">
      <c r="A129" s="124"/>
      <c r="B129" s="138"/>
      <c r="C129" s="138"/>
      <c r="D129" s="138"/>
      <c r="E129" s="140"/>
      <c r="F129" s="133"/>
      <c r="G129" s="133"/>
      <c r="H129" s="134">
        <f>SUM(H7:H127)</f>
        <v>-5936.7599999999984</v>
      </c>
      <c r="I129" s="134">
        <f>SUM(I7:I127)</f>
        <v>-470.27</v>
      </c>
      <c r="K129" s="134">
        <f>SUM(K7:K127)</f>
        <v>-526.20000000000005</v>
      </c>
      <c r="L129" s="160"/>
    </row>
    <row r="130" spans="1:12" ht="15" customHeight="1" thickTop="1" x14ac:dyDescent="0.35">
      <c r="A130" s="124"/>
      <c r="B130" s="138"/>
      <c r="C130" s="138"/>
      <c r="D130" s="138"/>
      <c r="E130" s="138"/>
      <c r="F130" s="133"/>
      <c r="G130" s="133"/>
      <c r="H130" s="133"/>
      <c r="I130" s="133"/>
      <c r="K130" s="166">
        <f>+K129+'EXPENSES-p2'!C22</f>
        <v>0</v>
      </c>
      <c r="L130" s="160"/>
    </row>
    <row r="131" spans="1:12" ht="15" customHeight="1" x14ac:dyDescent="0.35">
      <c r="A131" s="124"/>
      <c r="B131" s="138"/>
      <c r="C131" s="138"/>
      <c r="D131" s="179" t="s">
        <v>104</v>
      </c>
      <c r="E131" s="133"/>
      <c r="F131" s="133"/>
      <c r="G131" s="133"/>
      <c r="H131" s="133"/>
      <c r="I131" s="133"/>
      <c r="K131" s="166"/>
      <c r="L131" s="160"/>
    </row>
    <row r="132" spans="1:12" ht="15" customHeight="1" x14ac:dyDescent="0.5">
      <c r="A132" s="124"/>
      <c r="B132" s="138"/>
      <c r="C132" s="138"/>
      <c r="D132" s="195" t="s">
        <v>105</v>
      </c>
      <c r="E132" s="180">
        <v>28605.9</v>
      </c>
      <c r="F132" s="166"/>
      <c r="G132" s="211"/>
      <c r="H132" s="213" t="s">
        <v>199</v>
      </c>
      <c r="I132" s="133"/>
      <c r="K132" s="166"/>
      <c r="L132" s="160"/>
    </row>
    <row r="133" spans="1:12" ht="15" customHeight="1" x14ac:dyDescent="0.35">
      <c r="A133" s="124"/>
      <c r="B133" s="138"/>
      <c r="C133" s="138"/>
      <c r="D133" s="195" t="s">
        <v>106</v>
      </c>
      <c r="E133" s="180">
        <f>+I129</f>
        <v>-470.27</v>
      </c>
      <c r="F133" s="182"/>
      <c r="G133" s="133"/>
      <c r="H133" s="166">
        <v>25</v>
      </c>
      <c r="I133" s="255" t="s">
        <v>198</v>
      </c>
      <c r="J133" s="255"/>
      <c r="K133" s="255"/>
      <c r="L133" s="255"/>
    </row>
    <row r="134" spans="1:12" ht="16" thickBot="1" x14ac:dyDescent="0.4">
      <c r="A134" s="124"/>
      <c r="B134" s="138"/>
      <c r="C134" s="138"/>
      <c r="D134" s="195" t="s">
        <v>52</v>
      </c>
      <c r="E134" s="181">
        <f>+E132+E133</f>
        <v>28135.63</v>
      </c>
      <c r="F134" s="182"/>
      <c r="G134" s="133"/>
      <c r="H134" s="217"/>
      <c r="I134" s="254"/>
      <c r="J134" s="254"/>
      <c r="K134" s="254"/>
      <c r="L134" s="254"/>
    </row>
    <row r="135" spans="1:12" ht="15" customHeight="1" thickTop="1" x14ac:dyDescent="0.35">
      <c r="A135" s="124"/>
      <c r="B135" s="138"/>
      <c r="C135" s="138"/>
      <c r="E135" s="211">
        <f>+E134-F127</f>
        <v>0</v>
      </c>
      <c r="F135" s="182"/>
      <c r="G135" s="133"/>
      <c r="H135" s="166"/>
      <c r="I135" s="133"/>
      <c r="K135" s="166"/>
      <c r="L135" s="160"/>
    </row>
    <row r="136" spans="1:12" ht="15" customHeight="1" x14ac:dyDescent="0.35">
      <c r="A136" s="124"/>
      <c r="B136" s="138"/>
      <c r="C136" s="138"/>
      <c r="D136" s="138"/>
      <c r="E136" s="180"/>
      <c r="F136" s="182"/>
      <c r="G136" s="133"/>
      <c r="H136" s="133"/>
      <c r="I136" s="133"/>
      <c r="K136" s="166"/>
      <c r="L136" s="160"/>
    </row>
    <row r="137" spans="1:12" ht="15" customHeight="1" x14ac:dyDescent="0.35">
      <c r="E137" s="142"/>
      <c r="F137" s="142"/>
      <c r="G137" s="135"/>
      <c r="H137" s="135"/>
      <c r="I137" s="135"/>
      <c r="K137" s="166"/>
      <c r="L137" s="160"/>
    </row>
    <row r="138" spans="1:12" ht="15" customHeight="1" x14ac:dyDescent="0.35">
      <c r="E138" s="141"/>
      <c r="F138" s="135"/>
      <c r="G138" s="135"/>
      <c r="H138" s="135"/>
      <c r="I138" s="135"/>
      <c r="K138" s="166"/>
      <c r="L138" s="160"/>
    </row>
    <row r="139" spans="1:12" ht="15" customHeight="1" x14ac:dyDescent="0.35">
      <c r="E139" s="141"/>
      <c r="F139" s="135"/>
      <c r="G139" s="135"/>
      <c r="H139" s="142"/>
      <c r="I139" s="135"/>
      <c r="K139" s="166"/>
      <c r="L139" s="160"/>
    </row>
    <row r="140" spans="1:12" ht="15" customHeight="1" x14ac:dyDescent="0.35">
      <c r="E140" s="141"/>
      <c r="F140" s="142"/>
      <c r="G140" s="135"/>
      <c r="H140" s="135"/>
      <c r="I140" s="135"/>
      <c r="K140" s="166"/>
      <c r="L140" s="160"/>
    </row>
    <row r="141" spans="1:12" ht="15" customHeight="1" x14ac:dyDescent="0.35">
      <c r="E141" s="141"/>
      <c r="F141" s="142"/>
      <c r="G141" s="135"/>
      <c r="H141" s="135"/>
      <c r="I141" s="135"/>
      <c r="K141" s="166"/>
      <c r="L141" s="160"/>
    </row>
    <row r="142" spans="1:12" ht="15" customHeight="1" x14ac:dyDescent="0.35">
      <c r="E142" s="135"/>
      <c r="F142" s="135"/>
      <c r="G142" s="135"/>
      <c r="K142" s="166"/>
      <c r="L142" s="160"/>
    </row>
    <row r="143" spans="1:12" ht="15" customHeight="1" x14ac:dyDescent="0.35">
      <c r="E143" s="135"/>
      <c r="F143" s="135"/>
      <c r="G143" s="135"/>
      <c r="K143" s="166"/>
      <c r="L143" s="160"/>
    </row>
    <row r="144" spans="1:12" ht="15" customHeight="1" x14ac:dyDescent="0.35">
      <c r="E144" s="135"/>
      <c r="F144" s="135"/>
      <c r="G144" s="135"/>
      <c r="K144" s="166"/>
      <c r="L144" s="160"/>
    </row>
    <row r="145" spans="5:12" ht="15" customHeight="1" x14ac:dyDescent="0.35">
      <c r="E145" s="135"/>
      <c r="F145" s="135"/>
      <c r="G145" s="135"/>
      <c r="K145" s="166"/>
      <c r="L145" s="160"/>
    </row>
    <row r="146" spans="5:12" ht="15" customHeight="1" x14ac:dyDescent="0.35">
      <c r="E146" s="135"/>
      <c r="F146" s="135"/>
      <c r="G146" s="135"/>
      <c r="K146" s="166"/>
      <c r="L146" s="160"/>
    </row>
    <row r="147" spans="5:12" ht="15" customHeight="1" x14ac:dyDescent="0.35">
      <c r="E147" s="135"/>
      <c r="F147" s="135"/>
      <c r="G147" s="135"/>
      <c r="K147" s="166"/>
      <c r="L147" s="160"/>
    </row>
    <row r="148" spans="5:12" ht="15" customHeight="1" x14ac:dyDescent="0.35">
      <c r="E148" s="135"/>
      <c r="F148" s="135"/>
      <c r="G148" s="135"/>
      <c r="K148" s="166"/>
      <c r="L148" s="160"/>
    </row>
    <row r="149" spans="5:12" ht="15" customHeight="1" x14ac:dyDescent="0.35">
      <c r="E149" s="135"/>
      <c r="F149" s="135"/>
      <c r="G149" s="135"/>
      <c r="K149" s="166"/>
      <c r="L149" s="160"/>
    </row>
    <row r="150" spans="5:12" ht="15" customHeight="1" x14ac:dyDescent="0.35">
      <c r="E150" s="135"/>
      <c r="F150" s="135"/>
      <c r="G150" s="135"/>
      <c r="K150" s="166"/>
      <c r="L150" s="160"/>
    </row>
    <row r="151" spans="5:12" ht="15" customHeight="1" x14ac:dyDescent="0.35">
      <c r="E151" s="135"/>
      <c r="F151" s="135"/>
      <c r="G151" s="135"/>
      <c r="K151" s="166"/>
      <c r="L151" s="160"/>
    </row>
    <row r="152" spans="5:12" ht="15" customHeight="1" x14ac:dyDescent="0.35">
      <c r="E152" s="135"/>
      <c r="F152" s="135"/>
      <c r="G152" s="135"/>
      <c r="K152" s="166"/>
      <c r="L152" s="160"/>
    </row>
    <row r="153" spans="5:12" ht="15" customHeight="1" x14ac:dyDescent="0.35">
      <c r="E153" s="135"/>
      <c r="F153" s="135"/>
      <c r="G153" s="135"/>
      <c r="K153" s="166"/>
      <c r="L153" s="160"/>
    </row>
    <row r="154" spans="5:12" ht="15" customHeight="1" x14ac:dyDescent="0.35">
      <c r="E154" s="135"/>
      <c r="F154" s="135"/>
      <c r="G154" s="135"/>
      <c r="K154" s="166"/>
      <c r="L154" s="160"/>
    </row>
    <row r="155" spans="5:12" ht="15" customHeight="1" x14ac:dyDescent="0.35">
      <c r="E155" s="135"/>
      <c r="F155" s="135"/>
      <c r="G155" s="135"/>
      <c r="K155" s="166"/>
      <c r="L155" s="160"/>
    </row>
    <row r="156" spans="5:12" ht="15" customHeight="1" x14ac:dyDescent="0.35">
      <c r="E156" s="135"/>
      <c r="F156" s="135"/>
      <c r="G156" s="135"/>
      <c r="K156" s="166"/>
      <c r="L156" s="160"/>
    </row>
    <row r="157" spans="5:12" ht="15" customHeight="1" x14ac:dyDescent="0.35">
      <c r="E157" s="135"/>
      <c r="F157" s="135"/>
      <c r="G157" s="135"/>
      <c r="K157" s="166"/>
      <c r="L157" s="160"/>
    </row>
    <row r="158" spans="5:12" ht="15" customHeight="1" x14ac:dyDescent="0.35">
      <c r="E158" s="135"/>
      <c r="F158" s="135"/>
      <c r="G158" s="135"/>
      <c r="K158" s="166"/>
      <c r="L158" s="160"/>
    </row>
    <row r="159" spans="5:12" ht="15" customHeight="1" x14ac:dyDescent="0.35">
      <c r="E159" s="135"/>
      <c r="F159" s="135"/>
      <c r="G159" s="135"/>
      <c r="K159" s="166"/>
      <c r="L159" s="160"/>
    </row>
    <row r="160" spans="5:12" ht="15" customHeight="1" x14ac:dyDescent="0.35">
      <c r="E160" s="135"/>
      <c r="F160" s="135"/>
      <c r="G160" s="135"/>
    </row>
    <row r="161" spans="5:7" ht="15" customHeight="1" x14ac:dyDescent="0.35">
      <c r="E161" s="135"/>
      <c r="F161" s="135"/>
      <c r="G161" s="135"/>
    </row>
    <row r="162" spans="5:7" ht="15" customHeight="1" x14ac:dyDescent="0.35">
      <c r="E162" s="135"/>
      <c r="F162" s="135"/>
      <c r="G162" s="135"/>
    </row>
  </sheetData>
  <mergeCells count="2">
    <mergeCell ref="I134:L134"/>
    <mergeCell ref="I133:L133"/>
  </mergeCells>
  <pageMargins left="0.7" right="0.7" top="0.75" bottom="0.75" header="0" footer="0"/>
  <pageSetup scale="49" orientation="landscape" r:id="rId1"/>
  <headerFooter>
    <oddFooter>&amp;C&amp;"Helvetica Neue,Regular"&amp;12&amp;K000000&amp;P</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B4772-1490-41AC-89DB-E0BB5967FADB}">
  <sheetPr>
    <tabColor theme="6" tint="0.39997558519241921"/>
    <pageSetUpPr fitToPage="1"/>
  </sheetPr>
  <dimension ref="B1:O34"/>
  <sheetViews>
    <sheetView zoomScaleNormal="100" workbookViewId="0">
      <selection activeCell="D1" sqref="D1"/>
    </sheetView>
  </sheetViews>
  <sheetFormatPr defaultRowHeight="14.5" x14ac:dyDescent="0.35"/>
  <cols>
    <col min="2" max="2" width="27.26953125" customWidth="1"/>
    <col min="15" max="15" width="9.26953125" customWidth="1"/>
  </cols>
  <sheetData>
    <row r="1" spans="2:15" x14ac:dyDescent="0.35">
      <c r="B1" s="127" t="str">
        <f>+'INCOME-p1'!A1</f>
        <v>As of 10/31/2024</v>
      </c>
    </row>
    <row r="2" spans="2:15" ht="23.5" x14ac:dyDescent="0.55000000000000004">
      <c r="B2" s="144" t="s">
        <v>107</v>
      </c>
      <c r="O2" s="173" t="s">
        <v>108</v>
      </c>
    </row>
    <row r="4" spans="2:15" x14ac:dyDescent="0.35">
      <c r="C4" s="89" t="s">
        <v>4</v>
      </c>
      <c r="D4" s="88" t="s">
        <v>5</v>
      </c>
      <c r="E4" s="88" t="s">
        <v>6</v>
      </c>
      <c r="F4" s="88" t="s">
        <v>7</v>
      </c>
      <c r="G4" s="88" t="s">
        <v>8</v>
      </c>
      <c r="H4" s="88" t="s">
        <v>9</v>
      </c>
      <c r="I4" s="88" t="s">
        <v>10</v>
      </c>
      <c r="J4" s="88" t="s">
        <v>11</v>
      </c>
      <c r="K4" s="88" t="s">
        <v>12</v>
      </c>
      <c r="L4" s="88" t="s">
        <v>13</v>
      </c>
      <c r="M4" s="88" t="s">
        <v>14</v>
      </c>
      <c r="N4" s="88" t="s">
        <v>15</v>
      </c>
      <c r="O4" s="88" t="s">
        <v>109</v>
      </c>
    </row>
    <row r="6" spans="2:15" x14ac:dyDescent="0.35">
      <c r="B6" t="s">
        <v>194</v>
      </c>
      <c r="C6" s="189"/>
      <c r="D6" s="189">
        <v>11.4</v>
      </c>
      <c r="E6" s="189">
        <v>11.4</v>
      </c>
      <c r="F6" s="189"/>
      <c r="G6" s="189"/>
      <c r="H6" s="189"/>
      <c r="I6" s="189"/>
      <c r="J6" s="189"/>
      <c r="K6" s="189"/>
      <c r="L6" s="117"/>
      <c r="M6" s="117"/>
      <c r="N6" s="117"/>
    </row>
    <row r="7" spans="2:15" x14ac:dyDescent="0.35">
      <c r="B7" t="s">
        <v>218</v>
      </c>
      <c r="C7" s="189"/>
      <c r="D7" s="189"/>
      <c r="E7" s="189">
        <v>15</v>
      </c>
      <c r="F7" s="189"/>
      <c r="G7" s="189">
        <v>16.8</v>
      </c>
      <c r="H7" s="189"/>
      <c r="I7" s="189"/>
      <c r="J7" s="189"/>
      <c r="K7" s="189"/>
      <c r="L7" s="117"/>
      <c r="M7" s="117"/>
      <c r="N7" s="117"/>
    </row>
    <row r="8" spans="2:15" x14ac:dyDescent="0.35">
      <c r="B8" t="s">
        <v>254</v>
      </c>
      <c r="C8" s="189"/>
      <c r="D8" s="189"/>
      <c r="E8" s="189"/>
      <c r="F8" s="189"/>
      <c r="G8" s="189">
        <v>40.799999999999997</v>
      </c>
      <c r="H8" s="189"/>
      <c r="I8" s="189"/>
      <c r="J8" s="189"/>
      <c r="K8" s="189"/>
      <c r="L8" s="117"/>
      <c r="M8" s="117"/>
      <c r="N8" s="117"/>
    </row>
    <row r="9" spans="2:15" x14ac:dyDescent="0.35">
      <c r="B9" t="s">
        <v>365</v>
      </c>
      <c r="C9" s="189"/>
      <c r="D9" s="189"/>
      <c r="E9" s="189"/>
      <c r="F9" s="189"/>
      <c r="G9" s="189"/>
      <c r="H9" s="189">
        <v>45.6</v>
      </c>
      <c r="I9" s="189"/>
      <c r="J9" s="189"/>
      <c r="K9" s="189">
        <v>30.6</v>
      </c>
      <c r="L9" s="117"/>
      <c r="M9" s="117"/>
      <c r="N9" s="117"/>
    </row>
    <row r="10" spans="2:15" x14ac:dyDescent="0.35">
      <c r="B10" t="s">
        <v>306</v>
      </c>
      <c r="C10" s="189"/>
      <c r="D10" s="189"/>
      <c r="E10" s="189"/>
      <c r="F10" s="189"/>
      <c r="G10" s="189"/>
      <c r="H10" s="189"/>
      <c r="I10" s="189">
        <v>74.400000000000006</v>
      </c>
      <c r="J10" s="189"/>
      <c r="K10" s="189"/>
      <c r="L10" s="117"/>
      <c r="M10" s="117"/>
      <c r="N10" s="117"/>
    </row>
    <row r="11" spans="2:15" x14ac:dyDescent="0.35">
      <c r="B11" t="s">
        <v>308</v>
      </c>
      <c r="C11" s="189"/>
      <c r="D11" s="189"/>
      <c r="E11" s="189"/>
      <c r="F11" s="189"/>
      <c r="G11" s="189"/>
      <c r="H11" s="189"/>
      <c r="I11" s="189">
        <v>3</v>
      </c>
      <c r="J11" s="189"/>
      <c r="K11" s="189"/>
      <c r="L11" s="117"/>
      <c r="M11" s="117"/>
      <c r="N11" s="117"/>
    </row>
    <row r="12" spans="2:15" ht="29" x14ac:dyDescent="0.35">
      <c r="B12" s="232" t="s">
        <v>319</v>
      </c>
      <c r="C12" s="189"/>
      <c r="D12" s="189"/>
      <c r="E12" s="189"/>
      <c r="F12" s="189"/>
      <c r="G12" s="189"/>
      <c r="H12" s="189"/>
      <c r="I12" s="189"/>
      <c r="J12" s="189"/>
      <c r="K12" s="189">
        <v>202.2</v>
      </c>
      <c r="L12" s="117"/>
      <c r="M12" s="117"/>
      <c r="N12" s="117"/>
    </row>
    <row r="13" spans="2:15" x14ac:dyDescent="0.35">
      <c r="B13" s="232" t="s">
        <v>357</v>
      </c>
      <c r="C13" s="189"/>
      <c r="D13" s="189"/>
      <c r="E13" s="189"/>
      <c r="F13" s="189"/>
      <c r="G13" s="189"/>
      <c r="H13" s="189"/>
      <c r="I13" s="189"/>
      <c r="J13" s="189"/>
      <c r="K13" s="189">
        <f>-'2024 Check Register-p3'!E98</f>
        <v>49.2</v>
      </c>
      <c r="L13" s="117"/>
      <c r="M13" s="117"/>
      <c r="N13" s="117"/>
    </row>
    <row r="14" spans="2:15" x14ac:dyDescent="0.35">
      <c r="B14" s="232" t="s">
        <v>358</v>
      </c>
      <c r="C14" s="189"/>
      <c r="D14" s="189"/>
      <c r="E14" s="189"/>
      <c r="F14" s="189"/>
      <c r="G14" s="189"/>
      <c r="H14" s="189"/>
      <c r="I14" s="189"/>
      <c r="J14" s="189"/>
      <c r="K14" s="189">
        <v>25.8</v>
      </c>
      <c r="L14" s="117"/>
      <c r="M14" s="117"/>
      <c r="N14" s="117"/>
    </row>
    <row r="15" spans="2:15" x14ac:dyDescent="0.35">
      <c r="B15" s="232"/>
      <c r="C15" s="189"/>
      <c r="D15" s="189"/>
      <c r="E15" s="189"/>
      <c r="F15" s="189"/>
      <c r="G15" s="189"/>
      <c r="H15" s="189"/>
      <c r="I15" s="189"/>
      <c r="J15" s="189"/>
      <c r="K15" s="189"/>
      <c r="L15" s="117"/>
      <c r="M15" s="117"/>
      <c r="N15" s="117"/>
    </row>
    <row r="16" spans="2:15" x14ac:dyDescent="0.35">
      <c r="C16" s="189"/>
      <c r="D16" s="189"/>
      <c r="E16" s="189"/>
      <c r="F16" s="189"/>
      <c r="G16" s="189"/>
      <c r="H16" s="189"/>
      <c r="I16" s="189"/>
      <c r="J16" s="189"/>
      <c r="K16" s="189"/>
      <c r="L16" s="117"/>
      <c r="M16" s="117"/>
      <c r="N16" s="117"/>
    </row>
    <row r="17" spans="2:15" x14ac:dyDescent="0.35">
      <c r="C17" s="189"/>
      <c r="D17" s="189"/>
      <c r="E17" s="189"/>
      <c r="F17" s="189"/>
      <c r="G17" s="189"/>
      <c r="H17" s="189"/>
      <c r="I17" s="189"/>
      <c r="J17" s="189"/>
      <c r="K17" s="189"/>
      <c r="L17" s="117"/>
      <c r="M17" s="117"/>
      <c r="N17" s="117"/>
    </row>
    <row r="18" spans="2:15" x14ac:dyDescent="0.35">
      <c r="C18" s="117"/>
      <c r="D18" s="117"/>
      <c r="E18" s="117"/>
      <c r="F18" s="117"/>
      <c r="G18" s="117"/>
      <c r="H18" s="117"/>
      <c r="I18" s="117"/>
      <c r="J18" s="117"/>
      <c r="K18" s="117"/>
      <c r="L18" s="117"/>
      <c r="M18" s="117"/>
      <c r="N18" s="117"/>
    </row>
    <row r="19" spans="2:15" ht="15" thickBot="1" x14ac:dyDescent="0.4">
      <c r="B19" t="s">
        <v>110</v>
      </c>
      <c r="C19" s="118">
        <f t="shared" ref="C19:N19" si="0">SUM(C5:C18)</f>
        <v>0</v>
      </c>
      <c r="D19" s="118">
        <f t="shared" si="0"/>
        <v>11.4</v>
      </c>
      <c r="E19" s="118">
        <f t="shared" si="0"/>
        <v>26.4</v>
      </c>
      <c r="F19" s="118">
        <f t="shared" si="0"/>
        <v>0</v>
      </c>
      <c r="G19" s="118">
        <f t="shared" si="0"/>
        <v>57.599999999999994</v>
      </c>
      <c r="H19" s="118">
        <f t="shared" si="0"/>
        <v>45.6</v>
      </c>
      <c r="I19" s="118">
        <f t="shared" si="0"/>
        <v>77.400000000000006</v>
      </c>
      <c r="J19" s="118">
        <f t="shared" si="0"/>
        <v>0</v>
      </c>
      <c r="K19" s="118">
        <f t="shared" si="0"/>
        <v>307.8</v>
      </c>
      <c r="L19" s="118">
        <f t="shared" si="0"/>
        <v>0</v>
      </c>
      <c r="M19" s="118">
        <f t="shared" si="0"/>
        <v>0</v>
      </c>
      <c r="N19" s="118">
        <f t="shared" si="0"/>
        <v>0</v>
      </c>
      <c r="O19" s="169">
        <f>SUM(C19:N19)</f>
        <v>526.20000000000005</v>
      </c>
    </row>
    <row r="20" spans="2:15" ht="15" thickTop="1" x14ac:dyDescent="0.35">
      <c r="C20" s="117"/>
      <c r="D20" s="117"/>
      <c r="E20" s="117"/>
      <c r="F20" s="117"/>
      <c r="G20" s="117"/>
      <c r="H20" s="117"/>
      <c r="I20" s="117"/>
      <c r="J20" s="117"/>
      <c r="K20" s="117"/>
      <c r="L20" s="117"/>
      <c r="M20" s="117"/>
      <c r="N20" s="117"/>
    </row>
    <row r="21" spans="2:15" x14ac:dyDescent="0.35">
      <c r="B21" s="190"/>
      <c r="C21" s="117"/>
      <c r="D21" s="117"/>
      <c r="E21" s="117"/>
      <c r="F21" s="117"/>
      <c r="G21" s="117"/>
      <c r="H21" s="117"/>
      <c r="I21" s="117"/>
      <c r="J21" s="117"/>
      <c r="K21" s="117"/>
      <c r="L21" s="117"/>
      <c r="M21" s="117"/>
      <c r="N21" s="117"/>
    </row>
    <row r="22" spans="2:15" ht="15" thickBot="1" x14ac:dyDescent="0.4">
      <c r="C22" s="117"/>
      <c r="D22" s="117"/>
      <c r="E22" s="117"/>
      <c r="F22" s="117"/>
      <c r="G22" s="117"/>
      <c r="H22" s="117"/>
      <c r="I22" s="117"/>
      <c r="J22" s="117"/>
      <c r="K22" s="117"/>
      <c r="L22" s="117"/>
      <c r="M22" s="117"/>
      <c r="N22" s="117"/>
    </row>
    <row r="23" spans="2:15" ht="29.25" customHeight="1" thickBot="1" x14ac:dyDescent="0.4">
      <c r="B23" s="256" t="s">
        <v>111</v>
      </c>
      <c r="C23" s="257"/>
      <c r="D23" s="257"/>
      <c r="E23" s="257"/>
      <c r="F23" s="257"/>
      <c r="G23" s="257"/>
      <c r="H23" s="257"/>
      <c r="I23" s="257"/>
      <c r="J23" s="257"/>
      <c r="K23" s="257"/>
      <c r="L23" s="257"/>
      <c r="M23" s="257"/>
      <c r="N23" s="257"/>
      <c r="O23" s="258"/>
    </row>
    <row r="25" spans="2:15" x14ac:dyDescent="0.35">
      <c r="B25" s="144" t="s">
        <v>112</v>
      </c>
    </row>
    <row r="27" spans="2:15" x14ac:dyDescent="0.35">
      <c r="C27" s="89" t="s">
        <v>4</v>
      </c>
      <c r="D27" s="88" t="s">
        <v>5</v>
      </c>
      <c r="E27" s="88" t="s">
        <v>6</v>
      </c>
      <c r="F27" s="88" t="s">
        <v>7</v>
      </c>
      <c r="G27" s="88" t="s">
        <v>8</v>
      </c>
      <c r="H27" s="88" t="s">
        <v>9</v>
      </c>
      <c r="I27" s="88" t="s">
        <v>10</v>
      </c>
      <c r="J27" s="88" t="s">
        <v>11</v>
      </c>
      <c r="K27" s="88" t="s">
        <v>12</v>
      </c>
      <c r="L27" s="88" t="s">
        <v>13</v>
      </c>
      <c r="M27" s="88" t="s">
        <v>14</v>
      </c>
      <c r="N27" s="88" t="s">
        <v>15</v>
      </c>
      <c r="O27" s="88" t="s">
        <v>109</v>
      </c>
    </row>
    <row r="29" spans="2:15" x14ac:dyDescent="0.35">
      <c r="C29" s="117"/>
      <c r="D29" s="117"/>
      <c r="E29" s="117"/>
      <c r="F29" s="117"/>
      <c r="G29" s="117"/>
      <c r="H29" s="117"/>
      <c r="I29" s="117"/>
      <c r="J29" s="117"/>
      <c r="K29" s="117"/>
      <c r="L29" s="117"/>
      <c r="M29" s="117"/>
      <c r="N29" s="117"/>
    </row>
    <row r="30" spans="2:15" x14ac:dyDescent="0.35">
      <c r="C30" s="117"/>
      <c r="D30" s="117"/>
      <c r="E30" s="117"/>
      <c r="F30" s="117"/>
      <c r="G30" s="117"/>
      <c r="H30" s="117"/>
      <c r="I30" s="117"/>
      <c r="J30" s="117"/>
      <c r="K30" s="117"/>
      <c r="L30" s="117"/>
      <c r="M30" s="117"/>
      <c r="N30" s="117"/>
    </row>
    <row r="31" spans="2:15" x14ac:dyDescent="0.35">
      <c r="C31" s="117"/>
      <c r="D31" s="117"/>
      <c r="E31" s="117"/>
      <c r="F31" s="117"/>
      <c r="G31" s="117"/>
      <c r="H31" s="117"/>
      <c r="I31" s="117"/>
      <c r="J31" s="117"/>
      <c r="K31" s="117"/>
      <c r="L31" s="117"/>
      <c r="M31" s="117"/>
      <c r="N31" s="117"/>
    </row>
    <row r="32" spans="2:15" x14ac:dyDescent="0.35">
      <c r="C32" s="117"/>
      <c r="D32" s="117"/>
      <c r="E32" s="117"/>
      <c r="F32" s="117"/>
      <c r="G32" s="117"/>
      <c r="H32" s="117"/>
      <c r="I32" s="117"/>
      <c r="J32" s="117"/>
      <c r="K32" s="117"/>
      <c r="L32" s="117"/>
      <c r="M32" s="117"/>
      <c r="N32" s="117"/>
    </row>
    <row r="33" spans="2:15" ht="15" thickBot="1" x14ac:dyDescent="0.4">
      <c r="B33" t="s">
        <v>110</v>
      </c>
      <c r="C33" s="118">
        <f t="shared" ref="C33:N33" si="1">SUM(C28:C32)</f>
        <v>0</v>
      </c>
      <c r="D33" s="118">
        <f t="shared" si="1"/>
        <v>0</v>
      </c>
      <c r="E33" s="118">
        <f t="shared" si="1"/>
        <v>0</v>
      </c>
      <c r="F33" s="118">
        <f t="shared" si="1"/>
        <v>0</v>
      </c>
      <c r="G33" s="118">
        <f t="shared" si="1"/>
        <v>0</v>
      </c>
      <c r="H33" s="118">
        <f t="shared" si="1"/>
        <v>0</v>
      </c>
      <c r="I33" s="118">
        <f t="shared" si="1"/>
        <v>0</v>
      </c>
      <c r="J33" s="118">
        <f t="shared" si="1"/>
        <v>0</v>
      </c>
      <c r="K33" s="118">
        <f t="shared" si="1"/>
        <v>0</v>
      </c>
      <c r="L33" s="118">
        <f t="shared" si="1"/>
        <v>0</v>
      </c>
      <c r="M33" s="118">
        <f t="shared" si="1"/>
        <v>0</v>
      </c>
      <c r="N33" s="118">
        <f t="shared" si="1"/>
        <v>0</v>
      </c>
      <c r="O33" s="169">
        <f>SUM(C33:N33)</f>
        <v>0</v>
      </c>
    </row>
    <row r="34" spans="2:15" ht="15" thickTop="1" x14ac:dyDescent="0.35"/>
  </sheetData>
  <mergeCells count="1">
    <mergeCell ref="B23:O23"/>
  </mergeCells>
  <pageMargins left="0.7" right="0.7" top="0.75" bottom="0.75" header="0.3" footer="0.3"/>
  <pageSetup scale="8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4AF35-861E-4CBD-8265-AD1777FE622F}">
  <sheetPr>
    <tabColor rgb="FF00B0F0"/>
    <pageSetUpPr fitToPage="1"/>
  </sheetPr>
  <dimension ref="A1:P52"/>
  <sheetViews>
    <sheetView zoomScaleNormal="100" workbookViewId="0">
      <selection activeCell="C1" sqref="C1"/>
    </sheetView>
  </sheetViews>
  <sheetFormatPr defaultRowHeight="14.5" x14ac:dyDescent="0.35"/>
  <cols>
    <col min="1" max="1" width="42.54296875" customWidth="1"/>
    <col min="2" max="2" width="15.54296875" customWidth="1"/>
    <col min="3" max="3" width="20.1796875" customWidth="1"/>
    <col min="4" max="4" width="28.54296875" customWidth="1"/>
  </cols>
  <sheetData>
    <row r="1" spans="1:16" ht="23.5" x14ac:dyDescent="0.55000000000000004">
      <c r="D1" s="173" t="s">
        <v>113</v>
      </c>
    </row>
    <row r="2" spans="1:16" x14ac:dyDescent="0.35">
      <c r="A2" s="4" t="s">
        <v>180</v>
      </c>
      <c r="B2" s="2"/>
      <c r="C2" s="2"/>
      <c r="D2" s="3"/>
      <c r="E2" s="2"/>
      <c r="F2" s="2"/>
      <c r="G2" s="2"/>
      <c r="H2" s="2"/>
      <c r="I2" s="2"/>
      <c r="J2" s="2"/>
      <c r="K2" s="2"/>
      <c r="L2" s="2"/>
      <c r="M2" s="2"/>
      <c r="N2" s="2"/>
      <c r="O2" s="2"/>
      <c r="P2" s="2"/>
    </row>
    <row r="3" spans="1:16" x14ac:dyDescent="0.35">
      <c r="A3" s="1"/>
      <c r="B3" s="6"/>
      <c r="C3" s="7"/>
      <c r="D3" s="5"/>
      <c r="E3" s="2"/>
      <c r="F3" s="2"/>
      <c r="G3" s="2"/>
      <c r="H3" s="2"/>
      <c r="I3" s="2"/>
      <c r="J3" s="2"/>
      <c r="K3" s="2"/>
      <c r="L3" s="2"/>
      <c r="M3" s="2"/>
      <c r="N3" s="2"/>
      <c r="O3" s="2"/>
      <c r="P3" s="2"/>
    </row>
    <row r="4" spans="1:16" ht="15" thickBot="1" x14ac:dyDescent="0.4">
      <c r="A4" s="8" t="s">
        <v>181</v>
      </c>
      <c r="B4" s="6"/>
      <c r="C4" s="9">
        <f>+'Aug 2024'!C50</f>
        <v>34987.829999999994</v>
      </c>
      <c r="D4" s="7"/>
      <c r="E4" s="7"/>
      <c r="F4" s="7"/>
      <c r="G4" s="7"/>
      <c r="H4" s="7"/>
      <c r="I4" s="7"/>
      <c r="J4" s="7"/>
      <c r="K4" s="7"/>
      <c r="L4" s="7"/>
      <c r="M4" s="7"/>
      <c r="N4" s="7"/>
      <c r="O4" s="7"/>
      <c r="P4" s="7"/>
    </row>
    <row r="5" spans="1:16" x14ac:dyDescent="0.35">
      <c r="A5" s="10" t="s">
        <v>33</v>
      </c>
      <c r="B5" s="6"/>
      <c r="C5" s="7"/>
      <c r="D5" s="7"/>
      <c r="E5" s="7"/>
      <c r="F5" s="7"/>
      <c r="G5" s="7"/>
      <c r="H5" s="7"/>
      <c r="I5" s="7"/>
      <c r="J5" s="7"/>
      <c r="K5" s="7"/>
      <c r="L5" s="7"/>
      <c r="M5" s="7"/>
      <c r="N5" s="7"/>
      <c r="O5" s="7"/>
      <c r="P5" s="7"/>
    </row>
    <row r="6" spans="1:16" x14ac:dyDescent="0.35">
      <c r="A6" s="11" t="s">
        <v>17</v>
      </c>
      <c r="B6" s="12">
        <f>+'2024 Check Register-p3'!E104</f>
        <v>1150.5</v>
      </c>
      <c r="C6" s="7"/>
      <c r="D6" s="7"/>
      <c r="E6" s="7"/>
      <c r="F6" s="7"/>
      <c r="G6" s="7"/>
      <c r="H6" s="7"/>
      <c r="I6" s="7"/>
      <c r="J6" s="7"/>
      <c r="K6" s="7"/>
      <c r="L6" s="7"/>
      <c r="M6" s="7"/>
      <c r="N6" s="7"/>
      <c r="O6" s="7"/>
      <c r="P6" s="7"/>
    </row>
    <row r="7" spans="1:16" x14ac:dyDescent="0.35">
      <c r="A7" s="11" t="s">
        <v>114</v>
      </c>
      <c r="B7" s="12"/>
      <c r="C7" s="7"/>
      <c r="D7" s="7"/>
      <c r="E7" s="7"/>
      <c r="F7" s="7"/>
      <c r="G7" s="7"/>
      <c r="H7" s="7"/>
      <c r="I7" s="7"/>
      <c r="J7" s="7"/>
      <c r="K7" s="7"/>
      <c r="L7" s="7"/>
      <c r="M7" s="7"/>
      <c r="N7" s="7"/>
      <c r="O7" s="7"/>
      <c r="P7" s="7"/>
    </row>
    <row r="8" spans="1:16" x14ac:dyDescent="0.35">
      <c r="A8" s="11" t="s">
        <v>128</v>
      </c>
      <c r="B8" s="12"/>
      <c r="C8" s="7"/>
      <c r="D8" s="7"/>
      <c r="E8" s="7"/>
      <c r="F8" s="7"/>
      <c r="G8" s="7"/>
      <c r="H8" s="7"/>
      <c r="I8" s="7"/>
      <c r="J8" s="7"/>
      <c r="K8" s="7"/>
      <c r="L8" s="7"/>
      <c r="M8" s="7"/>
      <c r="N8" s="7"/>
      <c r="O8" s="7"/>
      <c r="P8" s="7"/>
    </row>
    <row r="9" spans="1:16" x14ac:dyDescent="0.35">
      <c r="A9" s="11" t="s">
        <v>116</v>
      </c>
      <c r="B9" s="12"/>
      <c r="C9" s="7"/>
      <c r="D9" s="7"/>
      <c r="E9" s="7"/>
      <c r="F9" s="7"/>
      <c r="G9" s="7"/>
      <c r="H9" s="7"/>
      <c r="I9" s="7"/>
      <c r="J9" s="7"/>
      <c r="K9" s="7"/>
      <c r="L9" s="7"/>
      <c r="M9" s="7"/>
      <c r="N9" s="7"/>
      <c r="O9" s="7"/>
      <c r="P9" s="7"/>
    </row>
    <row r="10" spans="1:16" x14ac:dyDescent="0.35">
      <c r="A10" s="11" t="s">
        <v>117</v>
      </c>
      <c r="B10" s="12"/>
      <c r="C10" s="7"/>
      <c r="D10" s="7"/>
      <c r="E10" s="7"/>
      <c r="F10" s="7"/>
      <c r="G10" s="7"/>
      <c r="H10" s="7"/>
      <c r="I10" s="7"/>
      <c r="J10" s="7"/>
      <c r="K10" s="7"/>
      <c r="L10" s="7"/>
      <c r="M10" s="7"/>
      <c r="N10" s="7"/>
      <c r="O10" s="7"/>
      <c r="P10" s="7"/>
    </row>
    <row r="11" spans="1:16" ht="17" x14ac:dyDescent="0.6">
      <c r="A11" s="13" t="s">
        <v>118</v>
      </c>
      <c r="B11" s="14" t="s">
        <v>119</v>
      </c>
      <c r="C11" s="15">
        <f>SUM(B6:B10)</f>
        <v>1150.5</v>
      </c>
      <c r="D11" s="7"/>
      <c r="E11" s="7"/>
      <c r="F11" s="7"/>
      <c r="G11" s="7"/>
      <c r="H11" s="7"/>
      <c r="I11" s="7"/>
      <c r="J11" s="7"/>
      <c r="K11" s="7"/>
      <c r="L11" s="7"/>
      <c r="M11" s="7"/>
      <c r="N11" s="7"/>
      <c r="O11" s="7"/>
      <c r="P11" s="7"/>
    </row>
    <row r="12" spans="1:16" x14ac:dyDescent="0.35">
      <c r="A12" s="1"/>
      <c r="B12" s="16"/>
      <c r="C12" s="7"/>
      <c r="D12" s="7"/>
      <c r="E12" s="7"/>
      <c r="F12" s="7"/>
      <c r="G12" s="7"/>
      <c r="H12" s="7"/>
      <c r="I12" s="7"/>
      <c r="J12" s="7"/>
      <c r="K12" s="7"/>
      <c r="L12" s="7"/>
      <c r="M12" s="7"/>
      <c r="N12" s="7"/>
      <c r="O12" s="7"/>
      <c r="P12" s="7"/>
    </row>
    <row r="13" spans="1:16" x14ac:dyDescent="0.35">
      <c r="A13" s="10" t="s">
        <v>34</v>
      </c>
      <c r="B13" s="16"/>
      <c r="C13" s="7"/>
      <c r="D13" s="7"/>
      <c r="E13" s="7"/>
      <c r="F13" s="7"/>
      <c r="G13" s="7"/>
      <c r="H13" s="7"/>
      <c r="I13" s="7"/>
      <c r="J13" s="7"/>
      <c r="K13" s="7"/>
      <c r="L13" s="7"/>
      <c r="M13" s="7"/>
      <c r="N13" s="7"/>
      <c r="O13" s="7"/>
      <c r="P13" s="7"/>
    </row>
    <row r="14" spans="1:16" x14ac:dyDescent="0.35">
      <c r="A14" s="11" t="s">
        <v>57</v>
      </c>
      <c r="B14" s="17">
        <f>-'2024 Check Register-p3'!E100-'2024 Check Register-p3'!E101-'2024 Check Register-p3'!E102</f>
        <v>471.53</v>
      </c>
      <c r="C14" s="7" t="s">
        <v>374</v>
      </c>
      <c r="D14" s="7"/>
      <c r="E14" s="7"/>
      <c r="F14" s="7"/>
      <c r="G14" s="7"/>
      <c r="H14" s="7"/>
      <c r="I14" s="7"/>
      <c r="J14" s="7"/>
      <c r="K14" s="7"/>
      <c r="L14" s="7"/>
      <c r="M14" s="7"/>
      <c r="N14" s="7"/>
      <c r="O14" s="7"/>
      <c r="P14" s="7"/>
    </row>
    <row r="15" spans="1:16" x14ac:dyDescent="0.35">
      <c r="A15" s="11" t="s">
        <v>58</v>
      </c>
      <c r="B15" s="17"/>
      <c r="C15" s="7"/>
      <c r="D15" s="22"/>
      <c r="E15" s="7"/>
      <c r="F15" s="7"/>
      <c r="G15" s="7"/>
      <c r="H15" s="7"/>
      <c r="I15" s="7"/>
      <c r="J15" s="7"/>
      <c r="K15" s="7"/>
      <c r="L15" s="7"/>
      <c r="M15" s="7"/>
      <c r="N15" s="7"/>
      <c r="O15" s="7"/>
      <c r="P15" s="7"/>
    </row>
    <row r="16" spans="1:16" x14ac:dyDescent="0.35">
      <c r="A16" s="11" t="s">
        <v>59</v>
      </c>
      <c r="B16" s="17"/>
      <c r="C16" s="7"/>
      <c r="D16" s="7"/>
      <c r="E16" s="7"/>
      <c r="F16" s="7"/>
      <c r="G16" s="7"/>
      <c r="H16" s="7"/>
      <c r="I16" s="7"/>
      <c r="J16" s="7"/>
      <c r="K16" s="7"/>
      <c r="L16" s="7"/>
      <c r="M16" s="7"/>
      <c r="N16" s="7"/>
      <c r="O16" s="7"/>
      <c r="P16" s="7"/>
    </row>
    <row r="17" spans="1:16" x14ac:dyDescent="0.35">
      <c r="A17" s="11" t="s">
        <v>120</v>
      </c>
      <c r="B17" s="17">
        <f>34.2+121.95</f>
        <v>156.15</v>
      </c>
      <c r="C17" s="7" t="s">
        <v>359</v>
      </c>
      <c r="D17" s="7"/>
      <c r="E17" s="7"/>
      <c r="F17" s="7"/>
      <c r="G17" s="7"/>
      <c r="H17" s="7"/>
      <c r="I17" s="7"/>
      <c r="J17" s="7"/>
      <c r="K17" s="7"/>
      <c r="L17" s="7"/>
      <c r="M17" s="7"/>
      <c r="N17" s="7"/>
      <c r="O17" s="7"/>
      <c r="P17" s="7"/>
    </row>
    <row r="18" spans="1:16" x14ac:dyDescent="0.35">
      <c r="A18" s="11" t="s">
        <v>61</v>
      </c>
      <c r="B18" s="17">
        <v>21.46</v>
      </c>
      <c r="C18" s="7"/>
      <c r="D18" s="7"/>
      <c r="E18" s="7"/>
      <c r="F18" s="7"/>
      <c r="G18" s="7"/>
      <c r="H18" s="7"/>
      <c r="I18" s="7"/>
      <c r="J18" s="7"/>
      <c r="K18" s="7"/>
      <c r="L18" s="7"/>
      <c r="M18" s="7"/>
      <c r="N18" s="7"/>
      <c r="O18" s="7"/>
      <c r="P18" s="7"/>
    </row>
    <row r="19" spans="1:16" x14ac:dyDescent="0.35">
      <c r="A19" s="11" t="s">
        <v>62</v>
      </c>
      <c r="B19" s="17"/>
      <c r="C19" s="7"/>
      <c r="D19" s="7"/>
      <c r="E19" s="7"/>
      <c r="F19" s="7"/>
      <c r="G19" s="7"/>
      <c r="H19" s="7"/>
      <c r="I19" s="7"/>
      <c r="J19" s="7"/>
      <c r="K19" s="7"/>
      <c r="L19" s="7"/>
      <c r="M19" s="7"/>
      <c r="N19" s="7"/>
      <c r="O19" s="7"/>
      <c r="P19" s="7"/>
    </row>
    <row r="20" spans="1:16" x14ac:dyDescent="0.35">
      <c r="A20" s="11" t="s">
        <v>63</v>
      </c>
      <c r="B20" s="17">
        <v>50</v>
      </c>
      <c r="C20" s="7" t="s">
        <v>326</v>
      </c>
      <c r="D20" s="7"/>
      <c r="E20" s="7"/>
      <c r="F20" s="7"/>
      <c r="G20" s="7"/>
      <c r="H20" s="7"/>
      <c r="I20" s="7"/>
      <c r="J20" s="7"/>
      <c r="K20" s="7"/>
      <c r="L20" s="7"/>
      <c r="M20" s="7"/>
      <c r="N20" s="7"/>
      <c r="O20" s="7"/>
      <c r="P20" s="7"/>
    </row>
    <row r="21" spans="1:16" x14ac:dyDescent="0.35">
      <c r="A21" s="11" t="s">
        <v>64</v>
      </c>
      <c r="B21" s="17"/>
      <c r="C21" s="7"/>
      <c r="D21" s="7"/>
      <c r="E21" s="7"/>
      <c r="F21" s="7"/>
      <c r="G21" s="7"/>
      <c r="H21" s="7"/>
      <c r="I21" s="7"/>
      <c r="J21" s="7"/>
      <c r="K21" s="7"/>
      <c r="L21" s="7"/>
      <c r="M21" s="7"/>
      <c r="N21" s="7"/>
      <c r="O21" s="7"/>
      <c r="P21" s="7"/>
    </row>
    <row r="22" spans="1:16" x14ac:dyDescent="0.35">
      <c r="A22" s="11" t="s">
        <v>121</v>
      </c>
      <c r="B22" s="17"/>
      <c r="C22" s="7"/>
      <c r="D22" s="7"/>
      <c r="E22" s="7"/>
      <c r="F22" s="7"/>
      <c r="G22" s="7"/>
      <c r="H22" s="7"/>
      <c r="I22" s="7"/>
      <c r="J22" s="7"/>
      <c r="K22" s="7"/>
      <c r="L22" s="7"/>
      <c r="M22" s="7"/>
      <c r="N22" s="7"/>
      <c r="O22" s="7"/>
      <c r="P22" s="7"/>
    </row>
    <row r="23" spans="1:16" x14ac:dyDescent="0.35">
      <c r="A23" s="11" t="s">
        <v>66</v>
      </c>
      <c r="B23" s="17"/>
      <c r="C23" s="7"/>
      <c r="D23" s="7"/>
      <c r="E23" s="7"/>
      <c r="F23" s="7"/>
      <c r="G23" s="7"/>
      <c r="H23" s="7"/>
      <c r="I23" s="7"/>
      <c r="J23" s="7"/>
      <c r="K23" s="7"/>
      <c r="L23" s="7"/>
      <c r="M23" s="7"/>
      <c r="N23" s="7"/>
      <c r="O23" s="7"/>
      <c r="P23" s="7"/>
    </row>
    <row r="24" spans="1:16" x14ac:dyDescent="0.35">
      <c r="A24" s="11" t="s">
        <v>67</v>
      </c>
      <c r="B24" s="17"/>
      <c r="C24" s="7"/>
      <c r="D24" s="7"/>
      <c r="E24" s="7"/>
      <c r="F24" s="7"/>
      <c r="G24" s="7"/>
      <c r="H24" s="7"/>
      <c r="I24" s="7"/>
      <c r="J24" s="7"/>
      <c r="K24" s="7"/>
      <c r="L24" s="7"/>
      <c r="M24" s="7"/>
      <c r="N24" s="7"/>
      <c r="O24" s="7"/>
      <c r="P24" s="7"/>
    </row>
    <row r="25" spans="1:16" x14ac:dyDescent="0.35">
      <c r="A25" s="11" t="s">
        <v>68</v>
      </c>
      <c r="B25" s="17"/>
      <c r="C25" s="7"/>
      <c r="D25" s="7"/>
      <c r="E25" s="7"/>
      <c r="F25" s="7"/>
      <c r="G25" s="7"/>
      <c r="H25" s="7"/>
      <c r="I25" s="7"/>
      <c r="J25" s="7"/>
      <c r="K25" s="7"/>
      <c r="L25" s="7"/>
      <c r="M25" s="7"/>
      <c r="N25" s="7"/>
      <c r="O25" s="7"/>
      <c r="P25" s="7"/>
    </row>
    <row r="26" spans="1:16" x14ac:dyDescent="0.35">
      <c r="A26" s="11" t="s">
        <v>69</v>
      </c>
      <c r="B26" s="17"/>
      <c r="C26" s="7"/>
      <c r="D26" s="7"/>
      <c r="E26" s="7"/>
      <c r="F26" s="7"/>
      <c r="G26" s="7"/>
      <c r="H26" s="7"/>
      <c r="I26" s="7"/>
      <c r="J26" s="7"/>
      <c r="K26" s="7"/>
      <c r="L26" s="7"/>
      <c r="M26" s="7"/>
      <c r="N26" s="7"/>
      <c r="O26" s="7"/>
      <c r="P26" s="7"/>
    </row>
    <row r="27" spans="1:16" x14ac:dyDescent="0.35">
      <c r="A27" s="11" t="s">
        <v>122</v>
      </c>
      <c r="B27" s="17"/>
      <c r="C27" s="7"/>
      <c r="D27" s="7"/>
      <c r="E27" s="7"/>
      <c r="F27" s="7"/>
      <c r="G27" s="7"/>
      <c r="H27" s="7"/>
      <c r="I27" s="7"/>
      <c r="J27" s="7"/>
      <c r="K27" s="7"/>
      <c r="L27" s="7"/>
      <c r="M27" s="7"/>
      <c r="N27" s="7"/>
      <c r="O27" s="7"/>
      <c r="P27" s="7"/>
    </row>
    <row r="28" spans="1:16" x14ac:dyDescent="0.35">
      <c r="A28" s="11" t="s">
        <v>123</v>
      </c>
      <c r="B28" s="17"/>
      <c r="C28" s="7"/>
      <c r="D28" s="7"/>
      <c r="E28" s="7"/>
      <c r="F28" s="7"/>
      <c r="G28" s="7"/>
      <c r="H28" s="7"/>
      <c r="I28" s="7"/>
      <c r="J28" s="7"/>
      <c r="K28" s="7"/>
      <c r="L28" s="7"/>
      <c r="M28" s="7"/>
      <c r="N28" s="7"/>
      <c r="O28" s="7"/>
      <c r="P28" s="7"/>
    </row>
    <row r="29" spans="1:16" x14ac:dyDescent="0.35">
      <c r="A29" s="11" t="s">
        <v>72</v>
      </c>
      <c r="B29" s="17"/>
      <c r="C29" s="7"/>
      <c r="D29" s="7"/>
      <c r="E29" s="7"/>
      <c r="F29" s="7"/>
      <c r="G29" s="7"/>
      <c r="H29" s="7"/>
      <c r="I29" s="7"/>
      <c r="J29" s="7"/>
      <c r="K29" s="7"/>
      <c r="L29" s="7"/>
      <c r="M29" s="7"/>
      <c r="N29" s="7"/>
      <c r="O29" s="7"/>
      <c r="P29" s="7"/>
    </row>
    <row r="30" spans="1:16" x14ac:dyDescent="0.35">
      <c r="A30" s="11" t="s">
        <v>73</v>
      </c>
      <c r="B30" s="17"/>
      <c r="C30" s="7"/>
      <c r="D30" s="7"/>
      <c r="E30" s="7"/>
      <c r="F30" s="7"/>
      <c r="G30" s="7"/>
      <c r="H30" s="7"/>
      <c r="I30" s="7"/>
      <c r="J30" s="7"/>
      <c r="K30" s="7"/>
      <c r="L30" s="7"/>
      <c r="M30" s="7"/>
      <c r="N30" s="7"/>
      <c r="O30" s="7"/>
      <c r="P30" s="7"/>
    </row>
    <row r="31" spans="1:16" x14ac:dyDescent="0.35">
      <c r="A31" s="11" t="s">
        <v>74</v>
      </c>
      <c r="B31" s="17">
        <f>+'Mileage-p4'!K19</f>
        <v>307.8</v>
      </c>
      <c r="C31" s="7" t="s">
        <v>124</v>
      </c>
      <c r="D31" s="7"/>
      <c r="E31" s="7"/>
      <c r="F31" s="7"/>
      <c r="G31" s="7"/>
      <c r="H31" s="7"/>
      <c r="I31" s="7"/>
      <c r="J31" s="7"/>
      <c r="K31" s="7"/>
      <c r="L31" s="7"/>
      <c r="M31" s="7"/>
      <c r="N31" s="7"/>
      <c r="O31" s="7"/>
      <c r="P31" s="7"/>
    </row>
    <row r="32" spans="1:16" x14ac:dyDescent="0.35">
      <c r="A32" s="11" t="s">
        <v>125</v>
      </c>
      <c r="B32" s="17"/>
      <c r="C32" s="7"/>
      <c r="D32" s="7"/>
      <c r="E32" s="7"/>
      <c r="F32" s="7"/>
      <c r="G32" s="7"/>
      <c r="H32" s="7"/>
      <c r="I32" s="7"/>
      <c r="J32" s="7"/>
      <c r="K32" s="7"/>
      <c r="L32" s="7"/>
      <c r="M32" s="7"/>
      <c r="N32" s="7"/>
      <c r="O32" s="7"/>
      <c r="P32" s="7"/>
    </row>
    <row r="33" spans="1:16" x14ac:dyDescent="0.35">
      <c r="A33" s="11" t="s">
        <v>76</v>
      </c>
      <c r="B33" s="17"/>
      <c r="C33" s="7"/>
      <c r="D33" s="7"/>
      <c r="E33" s="7"/>
      <c r="F33" s="7"/>
      <c r="G33" s="7"/>
      <c r="H33" s="7"/>
      <c r="I33" s="7"/>
      <c r="J33" s="7"/>
      <c r="K33" s="7"/>
      <c r="L33" s="7"/>
      <c r="M33" s="7"/>
      <c r="N33" s="7"/>
      <c r="O33" s="7"/>
      <c r="P33" s="7"/>
    </row>
    <row r="34" spans="1:16" x14ac:dyDescent="0.35">
      <c r="A34" s="11" t="s">
        <v>77</v>
      </c>
      <c r="B34" s="17">
        <f>-'2024 Check Register-p3'!E95-'2024 Check Register-p3'!E110-'2024 Check Register-p3'!E111</f>
        <v>854</v>
      </c>
      <c r="C34" s="7" t="s">
        <v>356</v>
      </c>
      <c r="D34" s="7"/>
      <c r="E34" s="7"/>
      <c r="F34" s="7"/>
      <c r="G34" s="7"/>
      <c r="H34" s="7"/>
      <c r="I34" s="7"/>
      <c r="J34" s="7"/>
      <c r="K34" s="7"/>
      <c r="L34" s="7"/>
      <c r="M34" s="7"/>
      <c r="N34" s="7"/>
      <c r="O34" s="7"/>
      <c r="P34" s="7"/>
    </row>
    <row r="35" spans="1:16" x14ac:dyDescent="0.35">
      <c r="A35" s="11" t="s">
        <v>54</v>
      </c>
      <c r="B35" s="17">
        <f>-'2024 Check Register-p3'!E106-'2024 Check Register-p3'!E107-'2024 Check Register-p3'!E108-'2024 Check Register-p3'!E109-30.6</f>
        <v>899.98</v>
      </c>
      <c r="C35" s="7" t="s">
        <v>244</v>
      </c>
      <c r="D35" s="7"/>
      <c r="E35" s="7"/>
      <c r="F35" s="7"/>
      <c r="G35" s="7"/>
      <c r="H35" s="7"/>
      <c r="I35" s="7"/>
      <c r="J35" s="7"/>
      <c r="K35" s="7"/>
      <c r="L35" s="7"/>
      <c r="M35" s="7"/>
      <c r="N35" s="7"/>
      <c r="O35" s="7"/>
      <c r="P35" s="7"/>
    </row>
    <row r="36" spans="1:16" x14ac:dyDescent="0.35">
      <c r="A36" s="11" t="s">
        <v>78</v>
      </c>
      <c r="B36" s="17"/>
      <c r="C36" s="7"/>
      <c r="D36" s="7"/>
      <c r="E36" s="7"/>
      <c r="F36" s="7"/>
      <c r="G36" s="7"/>
      <c r="H36" s="7"/>
      <c r="I36" s="7"/>
      <c r="J36" s="7"/>
      <c r="K36" s="7"/>
      <c r="L36" s="7"/>
      <c r="M36" s="7"/>
      <c r="N36" s="7"/>
      <c r="O36" s="7"/>
      <c r="P36" s="7"/>
    </row>
    <row r="37" spans="1:16" x14ac:dyDescent="0.35">
      <c r="A37" s="11" t="s">
        <v>79</v>
      </c>
      <c r="B37" s="17"/>
      <c r="C37" s="7"/>
      <c r="D37" s="7"/>
      <c r="E37" s="7"/>
      <c r="F37" s="7"/>
      <c r="G37" s="7"/>
      <c r="H37" s="7"/>
      <c r="I37" s="7"/>
      <c r="J37" s="7"/>
      <c r="K37" s="7"/>
      <c r="L37" s="7"/>
      <c r="M37" s="7"/>
      <c r="N37" s="7"/>
      <c r="O37" s="7"/>
      <c r="P37" s="7"/>
    </row>
    <row r="38" spans="1:16" x14ac:dyDescent="0.35">
      <c r="A38" s="25" t="s">
        <v>80</v>
      </c>
      <c r="B38" s="17"/>
      <c r="C38" s="7"/>
      <c r="D38" s="7"/>
      <c r="E38" s="7"/>
      <c r="F38" s="7"/>
      <c r="G38" s="7"/>
      <c r="H38" s="7"/>
      <c r="I38" s="7"/>
      <c r="J38" s="7"/>
      <c r="K38" s="7"/>
      <c r="L38" s="7"/>
      <c r="M38" s="7"/>
      <c r="N38" s="7"/>
      <c r="O38" s="7"/>
      <c r="P38" s="7"/>
    </row>
    <row r="39" spans="1:16" x14ac:dyDescent="0.35">
      <c r="A39" s="11" t="s">
        <v>81</v>
      </c>
      <c r="B39" s="17">
        <f>-'2024 Check Register-p3'!E103</f>
        <v>73</v>
      </c>
      <c r="C39" s="2" t="s">
        <v>361</v>
      </c>
      <c r="D39" s="7"/>
      <c r="E39" s="7"/>
      <c r="F39" s="7"/>
      <c r="G39" s="7"/>
      <c r="H39" s="7"/>
      <c r="I39" s="7"/>
      <c r="J39" s="7"/>
      <c r="K39" s="7"/>
      <c r="L39" s="7"/>
      <c r="M39" s="7"/>
      <c r="N39" s="7"/>
      <c r="O39" s="7"/>
      <c r="P39" s="7"/>
    </row>
    <row r="40" spans="1:16" x14ac:dyDescent="0.35">
      <c r="A40" s="11" t="s">
        <v>82</v>
      </c>
      <c r="B40" s="17"/>
      <c r="C40" s="2"/>
      <c r="D40" s="2"/>
      <c r="E40" s="2"/>
      <c r="F40" s="2"/>
      <c r="G40" s="2"/>
      <c r="H40" s="2"/>
      <c r="I40" s="2"/>
      <c r="J40" s="2"/>
      <c r="K40" s="2"/>
      <c r="L40" s="2"/>
      <c r="M40" s="2"/>
      <c r="N40" s="2"/>
      <c r="O40" s="2"/>
      <c r="P40" s="2"/>
    </row>
    <row r="41" spans="1:16" x14ac:dyDescent="0.35">
      <c r="A41" s="25" t="s">
        <v>83</v>
      </c>
      <c r="B41" s="17"/>
      <c r="C41" s="2"/>
      <c r="D41" s="2"/>
      <c r="E41" s="2"/>
      <c r="F41" s="2"/>
      <c r="G41" s="2"/>
      <c r="H41" s="2"/>
      <c r="I41" s="2"/>
      <c r="J41" s="2"/>
      <c r="K41" s="2"/>
      <c r="L41" s="2"/>
      <c r="M41" s="2"/>
      <c r="N41" s="2"/>
      <c r="O41" s="2"/>
      <c r="P41" s="2"/>
    </row>
    <row r="42" spans="1:16" x14ac:dyDescent="0.35">
      <c r="A42" s="27" t="s">
        <v>24</v>
      </c>
      <c r="B42" s="28"/>
      <c r="C42" s="2"/>
      <c r="D42" s="2"/>
      <c r="E42" s="2"/>
      <c r="F42" s="2"/>
      <c r="G42" s="2"/>
      <c r="H42" s="2"/>
      <c r="I42" s="2"/>
      <c r="J42" s="2"/>
      <c r="K42" s="2"/>
      <c r="L42" s="2"/>
      <c r="M42" s="2"/>
      <c r="N42" s="2"/>
      <c r="O42" s="2"/>
      <c r="P42" s="2"/>
    </row>
    <row r="43" spans="1:16" x14ac:dyDescent="0.35">
      <c r="A43" s="11" t="s">
        <v>126</v>
      </c>
      <c r="B43" s="17"/>
      <c r="C43" s="2"/>
      <c r="D43" s="2"/>
      <c r="E43" s="2"/>
      <c r="F43" s="2"/>
      <c r="G43" s="2"/>
      <c r="H43" s="2"/>
      <c r="I43" s="2"/>
      <c r="J43" s="2"/>
      <c r="K43" s="2"/>
      <c r="L43" s="2"/>
      <c r="M43" s="2"/>
      <c r="N43" s="2"/>
      <c r="O43" s="2"/>
      <c r="P43" s="2"/>
    </row>
    <row r="44" spans="1:16" x14ac:dyDescent="0.35">
      <c r="A44" s="11" t="s">
        <v>86</v>
      </c>
      <c r="B44" s="17">
        <v>183.14</v>
      </c>
      <c r="C44" s="2" t="s">
        <v>362</v>
      </c>
      <c r="D44" s="2"/>
      <c r="E44" s="2"/>
      <c r="F44" s="2"/>
      <c r="G44" s="2"/>
      <c r="H44" s="2"/>
      <c r="I44" s="2"/>
      <c r="J44" s="2"/>
      <c r="K44" s="2"/>
      <c r="L44" s="2"/>
      <c r="M44" s="2"/>
      <c r="N44" s="2"/>
      <c r="O44" s="2"/>
      <c r="P44" s="2"/>
    </row>
    <row r="45" spans="1:16" x14ac:dyDescent="0.35">
      <c r="A45" s="11" t="s">
        <v>87</v>
      </c>
      <c r="B45" s="17">
        <v>183.14</v>
      </c>
      <c r="C45" s="2" t="s">
        <v>363</v>
      </c>
      <c r="D45" s="2"/>
      <c r="E45" s="2"/>
      <c r="F45" s="2"/>
      <c r="G45" s="2"/>
      <c r="H45" s="2"/>
      <c r="I45" s="2"/>
      <c r="J45" s="2"/>
      <c r="K45" s="2"/>
      <c r="L45" s="2"/>
      <c r="M45" s="2"/>
      <c r="N45" s="2"/>
      <c r="O45" s="2"/>
      <c r="P45" s="2"/>
    </row>
    <row r="46" spans="1:16" x14ac:dyDescent="0.35">
      <c r="A46" s="11" t="s">
        <v>28</v>
      </c>
      <c r="B46" s="17"/>
      <c r="C46" s="2"/>
      <c r="D46" s="2"/>
      <c r="E46" s="2"/>
      <c r="F46" s="2"/>
      <c r="G46" s="2"/>
      <c r="H46" s="2"/>
      <c r="I46" s="2"/>
      <c r="J46" s="2"/>
      <c r="K46" s="2"/>
      <c r="L46" s="2"/>
      <c r="M46" s="2"/>
      <c r="N46" s="2"/>
      <c r="O46" s="2"/>
      <c r="P46" s="2"/>
    </row>
    <row r="47" spans="1:16" x14ac:dyDescent="0.35">
      <c r="A47" s="25" t="s">
        <v>88</v>
      </c>
      <c r="B47" s="17"/>
      <c r="C47" s="2"/>
      <c r="D47" s="2"/>
      <c r="E47" s="2"/>
      <c r="F47" s="2"/>
      <c r="G47" s="2"/>
      <c r="H47" s="2"/>
      <c r="I47" s="2"/>
      <c r="J47" s="2"/>
      <c r="K47" s="2"/>
      <c r="L47" s="2"/>
      <c r="M47" s="2"/>
      <c r="N47" s="2"/>
      <c r="O47" s="2"/>
      <c r="P47" s="2"/>
    </row>
    <row r="48" spans="1:16" ht="17" x14ac:dyDescent="0.6">
      <c r="A48" s="13" t="s">
        <v>90</v>
      </c>
      <c r="B48" s="19" t="s">
        <v>127</v>
      </c>
      <c r="C48" s="20">
        <f>SUM(B14:B47)</f>
        <v>3200.2</v>
      </c>
    </row>
    <row r="49" spans="1:3" x14ac:dyDescent="0.35">
      <c r="A49" s="2"/>
      <c r="B49" s="6"/>
      <c r="C49" s="2"/>
    </row>
    <row r="50" spans="1:3" ht="15" thickBot="1" x14ac:dyDescent="0.4">
      <c r="A50" s="18" t="s">
        <v>190</v>
      </c>
      <c r="B50" s="4"/>
      <c r="C50" s="21">
        <f>SUM(C4+C11-C48)</f>
        <v>32938.129999999997</v>
      </c>
    </row>
    <row r="51" spans="1:3" ht="15" thickTop="1" x14ac:dyDescent="0.35">
      <c r="C51" s="122"/>
    </row>
    <row r="52" spans="1:3" x14ac:dyDescent="0.35">
      <c r="C52" s="122"/>
    </row>
  </sheetData>
  <pageMargins left="0.7" right="0.7" top="0.75" bottom="0.75" header="0.3" footer="0.3"/>
  <pageSetup scale="8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7AEBC-EE57-4322-B3F5-921B7DD05501}">
  <sheetPr>
    <tabColor rgb="FF00B0F0"/>
    <pageSetUpPr fitToPage="1"/>
  </sheetPr>
  <dimension ref="A1:P52"/>
  <sheetViews>
    <sheetView zoomScaleNormal="100" workbookViewId="0">
      <selection activeCell="C1" sqref="C1"/>
    </sheetView>
  </sheetViews>
  <sheetFormatPr defaultRowHeight="14.5" x14ac:dyDescent="0.35"/>
  <cols>
    <col min="1" max="1" width="42.54296875" customWidth="1"/>
    <col min="2" max="2" width="15.54296875" customWidth="1"/>
    <col min="3" max="3" width="20.1796875" customWidth="1"/>
    <col min="4" max="4" width="28" customWidth="1"/>
  </cols>
  <sheetData>
    <row r="1" spans="1:16" ht="23.5" x14ac:dyDescent="0.55000000000000004">
      <c r="A1" s="1"/>
      <c r="B1" s="2"/>
      <c r="C1" s="2"/>
      <c r="D1" s="173" t="s">
        <v>321</v>
      </c>
      <c r="E1" s="2"/>
      <c r="F1" s="2"/>
      <c r="G1" s="2"/>
      <c r="H1" s="2"/>
      <c r="I1" s="2"/>
      <c r="J1" s="2"/>
      <c r="K1" s="2"/>
      <c r="L1" s="2"/>
      <c r="M1" s="2"/>
      <c r="N1" s="2"/>
      <c r="O1" s="2"/>
      <c r="P1" s="2"/>
    </row>
    <row r="2" spans="1:16" x14ac:dyDescent="0.35">
      <c r="A2" s="4" t="s">
        <v>182</v>
      </c>
      <c r="B2" s="2"/>
      <c r="C2" s="2"/>
      <c r="D2" s="5"/>
      <c r="E2" s="2"/>
      <c r="F2" s="2"/>
      <c r="G2" s="2"/>
      <c r="H2" s="2"/>
      <c r="I2" s="2"/>
      <c r="J2" s="2"/>
      <c r="K2" s="2"/>
      <c r="L2" s="2"/>
      <c r="M2" s="2"/>
      <c r="N2" s="2"/>
      <c r="O2" s="2"/>
      <c r="P2" s="2"/>
    </row>
    <row r="3" spans="1:16" x14ac:dyDescent="0.35">
      <c r="A3" s="1"/>
      <c r="B3" s="6"/>
      <c r="C3" s="7"/>
      <c r="D3" s="7"/>
      <c r="E3" s="7"/>
      <c r="F3" s="7"/>
      <c r="G3" s="7"/>
      <c r="H3" s="7"/>
      <c r="I3" s="7"/>
      <c r="J3" s="7"/>
      <c r="K3" s="7"/>
      <c r="L3" s="7"/>
      <c r="M3" s="7"/>
      <c r="N3" s="7"/>
      <c r="O3" s="7"/>
      <c r="P3" s="7"/>
    </row>
    <row r="4" spans="1:16" ht="15" thickBot="1" x14ac:dyDescent="0.4">
      <c r="A4" s="8" t="s">
        <v>183</v>
      </c>
      <c r="B4" s="6"/>
      <c r="C4" s="9">
        <f>+'Sept 2024 p5'!C50</f>
        <v>32938.129999999997</v>
      </c>
      <c r="D4" s="7"/>
      <c r="E4" s="7"/>
      <c r="F4" s="7"/>
      <c r="G4" s="7"/>
      <c r="H4" s="7"/>
      <c r="I4" s="7"/>
      <c r="J4" s="7"/>
      <c r="K4" s="7"/>
      <c r="L4" s="7"/>
      <c r="M4" s="7"/>
      <c r="N4" s="7"/>
      <c r="O4" s="7"/>
      <c r="P4" s="7"/>
    </row>
    <row r="5" spans="1:16" x14ac:dyDescent="0.35">
      <c r="A5" s="10" t="s">
        <v>33</v>
      </c>
      <c r="B5" s="6"/>
      <c r="C5" s="7"/>
      <c r="D5" s="7"/>
      <c r="E5" s="7"/>
      <c r="F5" s="7"/>
      <c r="G5" s="7"/>
      <c r="H5" s="7"/>
      <c r="I5" s="7"/>
      <c r="J5" s="7"/>
      <c r="K5" s="7"/>
      <c r="L5" s="7"/>
      <c r="M5" s="7"/>
      <c r="N5" s="7"/>
      <c r="O5" s="7"/>
      <c r="P5" s="7"/>
    </row>
    <row r="6" spans="1:16" x14ac:dyDescent="0.35">
      <c r="A6" s="11" t="s">
        <v>17</v>
      </c>
      <c r="B6" s="12">
        <f>+'2024 Check Register-p3'!E114+'2024 Check Register-p3'!E125</f>
        <v>3530.25</v>
      </c>
      <c r="C6" s="7"/>
      <c r="D6" s="7"/>
      <c r="E6" s="7"/>
      <c r="F6" s="7"/>
      <c r="G6" s="7"/>
      <c r="H6" s="7"/>
      <c r="I6" s="7"/>
      <c r="J6" s="7"/>
      <c r="K6" s="7"/>
      <c r="L6" s="7"/>
      <c r="M6" s="7"/>
      <c r="N6" s="7"/>
      <c r="O6" s="7"/>
      <c r="P6" s="7"/>
    </row>
    <row r="7" spans="1:16" x14ac:dyDescent="0.35">
      <c r="A7" s="11" t="s">
        <v>114</v>
      </c>
      <c r="B7" s="12"/>
      <c r="C7" s="7"/>
      <c r="D7" s="7"/>
      <c r="E7" s="7"/>
      <c r="F7" s="7"/>
      <c r="G7" s="7"/>
      <c r="H7" s="7"/>
      <c r="I7" s="7"/>
      <c r="J7" s="7"/>
      <c r="K7" s="7"/>
      <c r="L7" s="7"/>
      <c r="M7" s="7"/>
      <c r="N7" s="7"/>
      <c r="O7" s="7"/>
      <c r="P7" s="7"/>
    </row>
    <row r="8" spans="1:16" x14ac:dyDescent="0.35">
      <c r="A8" s="11" t="s">
        <v>128</v>
      </c>
      <c r="B8" s="12"/>
      <c r="C8" s="7"/>
      <c r="D8" s="7"/>
      <c r="E8" s="7"/>
      <c r="F8" s="7"/>
      <c r="G8" s="7"/>
      <c r="H8" s="7"/>
      <c r="I8" s="7"/>
      <c r="J8" s="7"/>
      <c r="K8" s="7"/>
      <c r="L8" s="7"/>
      <c r="M8" s="7"/>
      <c r="N8" s="7"/>
      <c r="O8" s="7"/>
      <c r="P8" s="7"/>
    </row>
    <row r="9" spans="1:16" x14ac:dyDescent="0.35">
      <c r="A9" s="11" t="s">
        <v>116</v>
      </c>
      <c r="B9" s="12"/>
      <c r="C9" s="7"/>
      <c r="D9" s="7"/>
      <c r="E9" s="7"/>
      <c r="F9" s="7"/>
      <c r="G9" s="7"/>
      <c r="H9" s="7"/>
      <c r="I9" s="7"/>
      <c r="J9" s="7"/>
      <c r="K9" s="7"/>
      <c r="L9" s="7"/>
      <c r="M9" s="7"/>
      <c r="N9" s="7"/>
      <c r="O9" s="7"/>
      <c r="P9" s="7"/>
    </row>
    <row r="10" spans="1:16" x14ac:dyDescent="0.35">
      <c r="A10" s="11" t="s">
        <v>117</v>
      </c>
      <c r="B10" s="12"/>
      <c r="C10" s="7"/>
      <c r="D10" s="7"/>
      <c r="E10" s="7"/>
      <c r="F10" s="7"/>
      <c r="G10" s="7"/>
      <c r="H10" s="7"/>
      <c r="I10" s="7"/>
      <c r="J10" s="7"/>
      <c r="K10" s="7"/>
      <c r="L10" s="7"/>
      <c r="M10" s="7"/>
      <c r="N10" s="7"/>
      <c r="O10" s="7"/>
      <c r="P10" s="7"/>
    </row>
    <row r="11" spans="1:16" ht="17" x14ac:dyDescent="0.6">
      <c r="A11" s="13" t="s">
        <v>118</v>
      </c>
      <c r="B11" s="14" t="s">
        <v>119</v>
      </c>
      <c r="C11" s="15">
        <f>SUM(B6:B10)</f>
        <v>3530.25</v>
      </c>
      <c r="D11" s="7"/>
      <c r="E11" s="7"/>
      <c r="F11" s="7"/>
      <c r="G11" s="7"/>
      <c r="H11" s="7"/>
      <c r="I11" s="7"/>
      <c r="J11" s="7"/>
      <c r="K11" s="7"/>
      <c r="L11" s="7"/>
      <c r="M11" s="7"/>
      <c r="N11" s="7"/>
      <c r="O11" s="7"/>
      <c r="P11" s="7"/>
    </row>
    <row r="12" spans="1:16" x14ac:dyDescent="0.35">
      <c r="A12" s="1"/>
      <c r="B12" s="16"/>
      <c r="C12" s="7"/>
      <c r="D12" s="7"/>
      <c r="E12" s="7"/>
      <c r="F12" s="7"/>
      <c r="G12" s="7"/>
      <c r="H12" s="7"/>
      <c r="I12" s="7"/>
      <c r="J12" s="7"/>
      <c r="K12" s="7"/>
      <c r="L12" s="7"/>
      <c r="M12" s="7"/>
      <c r="N12" s="7"/>
      <c r="O12" s="7"/>
      <c r="P12" s="7"/>
    </row>
    <row r="13" spans="1:16" x14ac:dyDescent="0.35">
      <c r="A13" s="10" t="s">
        <v>34</v>
      </c>
      <c r="B13" s="16"/>
      <c r="C13" s="7"/>
      <c r="D13" s="7"/>
      <c r="E13" s="7"/>
      <c r="F13" s="7"/>
      <c r="G13" s="7"/>
      <c r="H13" s="7"/>
      <c r="I13" s="7"/>
      <c r="J13" s="7"/>
      <c r="K13" s="7"/>
      <c r="L13" s="7"/>
      <c r="M13" s="7"/>
      <c r="N13" s="7"/>
      <c r="O13" s="7"/>
      <c r="P13" s="7"/>
    </row>
    <row r="14" spans="1:16" x14ac:dyDescent="0.35">
      <c r="A14" s="11" t="s">
        <v>57</v>
      </c>
      <c r="B14" s="17"/>
      <c r="C14" s="7"/>
      <c r="D14" s="22"/>
      <c r="E14" s="7"/>
      <c r="F14" s="7"/>
      <c r="G14" s="7"/>
      <c r="H14" s="7"/>
      <c r="I14" s="7"/>
      <c r="J14" s="7"/>
      <c r="K14" s="7"/>
      <c r="L14" s="7"/>
      <c r="M14" s="7"/>
      <c r="N14" s="7"/>
      <c r="O14" s="7"/>
      <c r="P14" s="7"/>
    </row>
    <row r="15" spans="1:16" x14ac:dyDescent="0.35">
      <c r="A15" s="11" t="s">
        <v>58</v>
      </c>
      <c r="B15" s="17"/>
      <c r="C15" s="7"/>
      <c r="D15" s="7"/>
      <c r="E15" s="7"/>
      <c r="F15" s="7"/>
      <c r="G15" s="7"/>
      <c r="H15" s="7"/>
      <c r="I15" s="7"/>
      <c r="J15" s="7"/>
      <c r="K15" s="7"/>
      <c r="L15" s="7"/>
      <c r="M15" s="7"/>
      <c r="N15" s="7"/>
      <c r="O15" s="7"/>
      <c r="P15" s="7"/>
    </row>
    <row r="16" spans="1:16" x14ac:dyDescent="0.35">
      <c r="A16" s="11" t="s">
        <v>59</v>
      </c>
      <c r="B16" s="17"/>
      <c r="C16" s="7"/>
      <c r="D16" s="7"/>
      <c r="E16" s="7"/>
      <c r="F16" s="7"/>
      <c r="G16" s="7"/>
      <c r="H16" s="7"/>
      <c r="I16" s="7"/>
      <c r="J16" s="7"/>
      <c r="K16" s="7"/>
      <c r="L16" s="7"/>
      <c r="M16" s="7"/>
      <c r="N16" s="7"/>
      <c r="O16" s="7"/>
      <c r="P16" s="7"/>
    </row>
    <row r="17" spans="1:16" x14ac:dyDescent="0.35">
      <c r="A17" s="11" t="s">
        <v>120</v>
      </c>
      <c r="B17" s="17"/>
      <c r="C17" s="7"/>
      <c r="D17" s="7"/>
      <c r="E17" s="7"/>
      <c r="F17" s="7"/>
      <c r="G17" s="7"/>
      <c r="H17" s="7"/>
      <c r="I17" s="7"/>
      <c r="J17" s="7"/>
      <c r="K17" s="7"/>
      <c r="L17" s="7"/>
      <c r="M17" s="7"/>
      <c r="N17" s="7"/>
      <c r="O17" s="7"/>
      <c r="P17" s="7"/>
    </row>
    <row r="18" spans="1:16" x14ac:dyDescent="0.35">
      <c r="A18" s="11" t="s">
        <v>61</v>
      </c>
      <c r="B18" s="17">
        <f>-'2024 Check Register-p3'!E113</f>
        <v>27.12</v>
      </c>
      <c r="C18" s="7"/>
      <c r="D18" s="7"/>
      <c r="E18" s="7"/>
      <c r="F18" s="7"/>
      <c r="G18" s="7"/>
      <c r="H18" s="7"/>
      <c r="I18" s="7"/>
      <c r="J18" s="7"/>
      <c r="K18" s="7"/>
      <c r="L18" s="7"/>
      <c r="M18" s="7"/>
      <c r="N18" s="7"/>
      <c r="O18" s="7"/>
      <c r="P18" s="7"/>
    </row>
    <row r="19" spans="1:16" x14ac:dyDescent="0.35">
      <c r="A19" s="11" t="s">
        <v>62</v>
      </c>
      <c r="B19" s="17"/>
      <c r="C19" s="7"/>
      <c r="D19" s="7"/>
      <c r="E19" s="7"/>
      <c r="F19" s="7"/>
      <c r="G19" s="7"/>
      <c r="H19" s="7"/>
      <c r="I19" s="7"/>
      <c r="J19" s="7"/>
      <c r="K19" s="7"/>
      <c r="L19" s="7"/>
      <c r="M19" s="7"/>
      <c r="N19" s="7"/>
      <c r="O19" s="7"/>
      <c r="P19" s="7"/>
    </row>
    <row r="20" spans="1:16" x14ac:dyDescent="0.35">
      <c r="A20" s="11" t="s">
        <v>63</v>
      </c>
      <c r="B20" s="17"/>
      <c r="C20" s="7"/>
      <c r="D20" s="7"/>
      <c r="E20" s="7"/>
      <c r="F20" s="7"/>
      <c r="G20" s="7"/>
      <c r="H20" s="7"/>
      <c r="I20" s="7"/>
      <c r="J20" s="7"/>
      <c r="K20" s="7"/>
      <c r="L20" s="7"/>
      <c r="M20" s="7"/>
      <c r="N20" s="7"/>
      <c r="O20" s="7"/>
      <c r="P20" s="7"/>
    </row>
    <row r="21" spans="1:16" x14ac:dyDescent="0.35">
      <c r="A21" s="11" t="s">
        <v>64</v>
      </c>
      <c r="B21" s="17"/>
      <c r="C21" s="7"/>
      <c r="D21" s="7"/>
      <c r="E21" s="7"/>
      <c r="F21" s="7"/>
      <c r="G21" s="7"/>
      <c r="H21" s="7"/>
      <c r="I21" s="7"/>
      <c r="J21" s="7"/>
      <c r="K21" s="7"/>
      <c r="L21" s="7"/>
      <c r="M21" s="7"/>
      <c r="N21" s="7"/>
      <c r="O21" s="7"/>
      <c r="P21" s="7"/>
    </row>
    <row r="22" spans="1:16" x14ac:dyDescent="0.35">
      <c r="A22" s="11" t="s">
        <v>121</v>
      </c>
      <c r="B22" s="17">
        <f>-'2024 Check Register-p3'!E115</f>
        <v>3000</v>
      </c>
      <c r="C22" s="7" t="s">
        <v>378</v>
      </c>
      <c r="D22" s="7"/>
      <c r="E22" s="7"/>
      <c r="F22" s="7"/>
      <c r="G22" s="7"/>
      <c r="H22" s="7"/>
      <c r="I22" s="7"/>
      <c r="J22" s="7"/>
      <c r="K22" s="7"/>
      <c r="L22" s="7"/>
      <c r="M22" s="7"/>
      <c r="N22" s="7"/>
      <c r="O22" s="7"/>
      <c r="P22" s="7"/>
    </row>
    <row r="23" spans="1:16" x14ac:dyDescent="0.35">
      <c r="A23" s="11" t="s">
        <v>66</v>
      </c>
      <c r="B23" s="17"/>
      <c r="C23" s="7"/>
      <c r="D23" s="7"/>
      <c r="E23" s="7"/>
      <c r="F23" s="7"/>
      <c r="G23" s="7"/>
      <c r="H23" s="7"/>
      <c r="I23" s="7"/>
      <c r="J23" s="7"/>
      <c r="K23" s="7"/>
      <c r="L23" s="7"/>
      <c r="M23" s="7"/>
      <c r="N23" s="7"/>
      <c r="O23" s="7"/>
      <c r="P23" s="7"/>
    </row>
    <row r="24" spans="1:16" x14ac:dyDescent="0.35">
      <c r="A24" s="11" t="s">
        <v>67</v>
      </c>
      <c r="B24" s="17">
        <f>-'2024 Check Register-p3'!E122</f>
        <v>257</v>
      </c>
      <c r="C24" s="7" t="s">
        <v>379</v>
      </c>
      <c r="D24" s="7"/>
      <c r="E24" s="7"/>
      <c r="F24" s="7"/>
      <c r="G24" s="7"/>
      <c r="H24" s="7"/>
      <c r="I24" s="7"/>
      <c r="J24" s="7"/>
      <c r="K24" s="7"/>
      <c r="L24" s="7"/>
      <c r="M24" s="7"/>
      <c r="N24" s="7"/>
      <c r="O24" s="7"/>
      <c r="P24" s="7"/>
    </row>
    <row r="25" spans="1:16" x14ac:dyDescent="0.35">
      <c r="A25" s="11" t="s">
        <v>68</v>
      </c>
      <c r="B25" s="17"/>
      <c r="C25" s="7"/>
      <c r="D25" s="7"/>
      <c r="E25" s="7"/>
      <c r="F25" s="7"/>
      <c r="G25" s="7"/>
      <c r="H25" s="7"/>
      <c r="I25" s="7"/>
      <c r="J25" s="7"/>
      <c r="K25" s="7"/>
      <c r="L25" s="7"/>
      <c r="M25" s="7"/>
      <c r="N25" s="7"/>
      <c r="O25" s="7"/>
      <c r="P25" s="7"/>
    </row>
    <row r="26" spans="1:16" x14ac:dyDescent="0.35">
      <c r="A26" s="11" t="s">
        <v>69</v>
      </c>
      <c r="B26" s="17"/>
      <c r="C26" s="7"/>
      <c r="D26" s="7"/>
      <c r="E26" s="7"/>
      <c r="F26" s="7"/>
      <c r="G26" s="7"/>
      <c r="H26" s="7"/>
      <c r="I26" s="7"/>
      <c r="J26" s="7"/>
      <c r="K26" s="7"/>
      <c r="L26" s="7"/>
      <c r="M26" s="7"/>
      <c r="N26" s="7"/>
      <c r="O26" s="7"/>
      <c r="P26" s="7"/>
    </row>
    <row r="27" spans="1:16" x14ac:dyDescent="0.35">
      <c r="A27" s="11" t="s">
        <v>122</v>
      </c>
      <c r="B27" s="17"/>
      <c r="C27" s="7"/>
      <c r="D27" s="7"/>
      <c r="E27" s="7"/>
      <c r="F27" s="7"/>
      <c r="G27" s="7"/>
      <c r="H27" s="7"/>
      <c r="I27" s="7"/>
      <c r="J27" s="7"/>
      <c r="K27" s="7"/>
      <c r="L27" s="7"/>
      <c r="M27" s="7"/>
      <c r="N27" s="7"/>
      <c r="O27" s="7"/>
      <c r="P27" s="7"/>
    </row>
    <row r="28" spans="1:16" x14ac:dyDescent="0.35">
      <c r="A28" s="11" t="s">
        <v>123</v>
      </c>
      <c r="B28" s="17"/>
      <c r="C28" s="7"/>
      <c r="D28" s="7"/>
      <c r="E28" s="7"/>
      <c r="F28" s="7"/>
      <c r="G28" s="7"/>
      <c r="H28" s="7"/>
      <c r="I28" s="7"/>
      <c r="J28" s="7"/>
      <c r="K28" s="7"/>
      <c r="L28" s="7"/>
      <c r="M28" s="7"/>
      <c r="N28" s="7"/>
      <c r="O28" s="7"/>
      <c r="P28" s="7"/>
    </row>
    <row r="29" spans="1:16" x14ac:dyDescent="0.35">
      <c r="A29" s="11" t="s">
        <v>72</v>
      </c>
      <c r="B29" s="17">
        <f>-'2024 Check Register-p3'!E112</f>
        <v>2412</v>
      </c>
      <c r="C29" s="7" t="s">
        <v>381</v>
      </c>
      <c r="D29" s="7"/>
      <c r="E29" s="7"/>
      <c r="F29" s="7"/>
      <c r="G29" s="7"/>
      <c r="H29" s="7"/>
      <c r="I29" s="7"/>
      <c r="J29" s="7"/>
      <c r="K29" s="7"/>
      <c r="L29" s="7"/>
      <c r="M29" s="7"/>
      <c r="N29" s="7"/>
      <c r="O29" s="7"/>
      <c r="P29" s="7"/>
    </row>
    <row r="30" spans="1:16" x14ac:dyDescent="0.35">
      <c r="A30" s="11" t="s">
        <v>73</v>
      </c>
      <c r="B30" s="17"/>
      <c r="C30" s="7"/>
      <c r="D30" s="7"/>
      <c r="E30" s="7"/>
      <c r="F30" s="7"/>
      <c r="G30" s="7"/>
      <c r="H30" s="7"/>
      <c r="I30" s="7"/>
      <c r="J30" s="7"/>
      <c r="K30" s="7"/>
      <c r="L30" s="7"/>
      <c r="M30" s="7"/>
      <c r="N30" s="7"/>
      <c r="O30" s="7"/>
      <c r="P30" s="7"/>
    </row>
    <row r="31" spans="1:16" x14ac:dyDescent="0.35">
      <c r="A31" s="11" t="s">
        <v>74</v>
      </c>
      <c r="B31" s="17">
        <f>+'Mileage-p4'!L19</f>
        <v>0</v>
      </c>
      <c r="C31" s="7" t="s">
        <v>124</v>
      </c>
      <c r="D31" s="7"/>
      <c r="E31" s="7"/>
      <c r="F31" s="7"/>
      <c r="G31" s="7"/>
      <c r="H31" s="7"/>
      <c r="I31" s="7"/>
      <c r="J31" s="7"/>
      <c r="K31" s="7"/>
      <c r="L31" s="7"/>
      <c r="M31" s="7"/>
      <c r="N31" s="7"/>
      <c r="O31" s="7"/>
      <c r="P31" s="7"/>
    </row>
    <row r="32" spans="1:16" x14ac:dyDescent="0.35">
      <c r="A32" s="11" t="s">
        <v>125</v>
      </c>
      <c r="B32" s="17"/>
      <c r="C32" s="7"/>
      <c r="D32" s="7"/>
      <c r="E32" s="7"/>
      <c r="F32" s="7"/>
      <c r="G32" s="7"/>
      <c r="H32" s="7"/>
      <c r="I32" s="7"/>
      <c r="J32" s="7"/>
      <c r="K32" s="7"/>
      <c r="L32" s="7"/>
      <c r="M32" s="7"/>
      <c r="N32" s="7"/>
      <c r="O32" s="7"/>
      <c r="P32" s="7"/>
    </row>
    <row r="33" spans="1:16" x14ac:dyDescent="0.35">
      <c r="A33" s="11" t="s">
        <v>76</v>
      </c>
      <c r="B33" s="17"/>
      <c r="C33" s="7"/>
      <c r="D33" s="7"/>
      <c r="E33" s="7"/>
      <c r="F33" s="7"/>
      <c r="G33" s="7"/>
      <c r="H33" s="7"/>
      <c r="I33" s="7"/>
      <c r="J33" s="7"/>
      <c r="K33" s="7"/>
      <c r="L33" s="7"/>
      <c r="M33" s="7"/>
      <c r="N33" s="7"/>
      <c r="O33" s="7"/>
      <c r="P33" s="7"/>
    </row>
    <row r="34" spans="1:16" x14ac:dyDescent="0.35">
      <c r="A34" s="11" t="s">
        <v>77</v>
      </c>
      <c r="B34" s="17">
        <f>-'2024 Check Register-p3'!E123</f>
        <v>68</v>
      </c>
      <c r="C34" s="7" t="s">
        <v>376</v>
      </c>
      <c r="D34" s="7"/>
      <c r="E34" s="7"/>
      <c r="F34" s="7"/>
      <c r="G34" s="7"/>
      <c r="H34" s="7"/>
      <c r="I34" s="7"/>
      <c r="J34" s="7"/>
      <c r="K34" s="7"/>
      <c r="L34" s="7"/>
      <c r="M34" s="7"/>
      <c r="N34" s="7"/>
      <c r="O34" s="7"/>
      <c r="P34" s="7"/>
    </row>
    <row r="35" spans="1:16" x14ac:dyDescent="0.35">
      <c r="A35" s="11" t="s">
        <v>54</v>
      </c>
      <c r="B35" s="17">
        <f>-'2024 Check Register-p3'!E120-PO!F16</f>
        <v>460.08000000000004</v>
      </c>
      <c r="C35" s="7" t="s">
        <v>244</v>
      </c>
      <c r="D35" s="7"/>
      <c r="E35" s="7"/>
      <c r="F35" s="7"/>
      <c r="G35" s="7"/>
      <c r="H35" s="7"/>
      <c r="I35" s="7"/>
      <c r="J35" s="7"/>
      <c r="K35" s="7"/>
      <c r="L35" s="7"/>
      <c r="M35" s="7"/>
      <c r="N35" s="7"/>
      <c r="O35" s="7"/>
      <c r="P35" s="7"/>
    </row>
    <row r="36" spans="1:16" x14ac:dyDescent="0.35">
      <c r="A36" s="11" t="s">
        <v>78</v>
      </c>
      <c r="B36" s="17"/>
      <c r="C36" s="7"/>
      <c r="D36" s="7"/>
      <c r="E36" s="7"/>
      <c r="F36" s="7"/>
      <c r="G36" s="7"/>
      <c r="H36" s="7"/>
      <c r="I36" s="7"/>
      <c r="J36" s="7"/>
      <c r="K36" s="7"/>
      <c r="L36" s="7"/>
      <c r="M36" s="7"/>
      <c r="N36" s="7"/>
      <c r="O36" s="7"/>
      <c r="P36" s="7"/>
    </row>
    <row r="37" spans="1:16" x14ac:dyDescent="0.35">
      <c r="A37" s="11" t="s">
        <v>79</v>
      </c>
      <c r="B37" s="17"/>
      <c r="C37" s="7"/>
      <c r="D37" s="7"/>
      <c r="E37" s="7"/>
      <c r="F37" s="7"/>
      <c r="G37" s="7"/>
      <c r="H37" s="7"/>
      <c r="I37" s="7"/>
      <c r="J37" s="7"/>
      <c r="K37" s="7"/>
      <c r="L37" s="7"/>
      <c r="M37" s="7"/>
      <c r="N37" s="7"/>
      <c r="O37" s="7"/>
      <c r="P37" s="7"/>
    </row>
    <row r="38" spans="1:16" x14ac:dyDescent="0.35">
      <c r="A38" s="25" t="s">
        <v>80</v>
      </c>
      <c r="B38" s="17"/>
      <c r="C38" s="7"/>
      <c r="D38" s="7"/>
      <c r="E38" s="7"/>
      <c r="F38" s="7"/>
      <c r="G38" s="7"/>
      <c r="H38" s="7"/>
      <c r="I38" s="7"/>
      <c r="J38" s="7"/>
      <c r="K38" s="7"/>
      <c r="L38" s="7"/>
      <c r="M38" s="7"/>
      <c r="N38" s="7"/>
      <c r="O38" s="7"/>
      <c r="P38" s="7"/>
    </row>
    <row r="39" spans="1:16" x14ac:dyDescent="0.35">
      <c r="A39" s="11" t="s">
        <v>81</v>
      </c>
      <c r="B39" s="17">
        <f>-'2024 Check Register-p3'!E116-'2024 Check Register-p3'!E119-'2024 Check Register-p3'!E118-'2024 Check Register-p3'!E117</f>
        <v>108.55000000000001</v>
      </c>
      <c r="C39" s="2" t="s">
        <v>368</v>
      </c>
      <c r="D39" s="2"/>
      <c r="E39" s="2"/>
      <c r="F39" s="2"/>
      <c r="G39" s="2"/>
      <c r="H39" s="2"/>
      <c r="I39" s="2"/>
      <c r="J39" s="2"/>
      <c r="K39" s="2"/>
      <c r="L39" s="2"/>
      <c r="M39" s="2"/>
      <c r="N39" s="2"/>
      <c r="O39" s="2"/>
      <c r="P39" s="2"/>
    </row>
    <row r="40" spans="1:16" x14ac:dyDescent="0.35">
      <c r="A40" s="11" t="s">
        <v>82</v>
      </c>
      <c r="B40" s="17"/>
      <c r="C40" s="2"/>
      <c r="D40" s="2"/>
      <c r="E40" s="2"/>
      <c r="F40" s="2"/>
      <c r="G40" s="2"/>
      <c r="H40" s="2"/>
      <c r="I40" s="2"/>
      <c r="J40" s="2"/>
      <c r="K40" s="2"/>
      <c r="L40" s="2"/>
      <c r="M40" s="2"/>
      <c r="N40" s="2"/>
      <c r="O40" s="2"/>
      <c r="P40" s="2"/>
    </row>
    <row r="41" spans="1:16" x14ac:dyDescent="0.35">
      <c r="A41" s="25" t="s">
        <v>83</v>
      </c>
      <c r="B41" s="17"/>
      <c r="C41" s="2"/>
      <c r="D41" s="2"/>
      <c r="E41" s="2"/>
      <c r="F41" s="2"/>
      <c r="G41" s="2"/>
      <c r="H41" s="2"/>
      <c r="I41" s="2"/>
      <c r="J41" s="2"/>
      <c r="K41" s="2"/>
      <c r="L41" s="2"/>
      <c r="M41" s="2"/>
      <c r="N41" s="2"/>
      <c r="O41" s="2"/>
      <c r="P41" s="2"/>
    </row>
    <row r="42" spans="1:16" x14ac:dyDescent="0.35">
      <c r="A42" s="27" t="s">
        <v>24</v>
      </c>
      <c r="B42" s="28"/>
      <c r="C42" s="2"/>
      <c r="D42" s="2"/>
      <c r="E42" s="2"/>
      <c r="F42" s="2"/>
      <c r="G42" s="2"/>
      <c r="H42" s="2"/>
      <c r="I42" s="2"/>
      <c r="J42" s="2"/>
      <c r="K42" s="2"/>
      <c r="L42" s="2"/>
      <c r="M42" s="2"/>
      <c r="N42" s="2"/>
      <c r="O42" s="2"/>
      <c r="P42" s="2"/>
    </row>
    <row r="43" spans="1:16" x14ac:dyDescent="0.35">
      <c r="A43" s="11" t="s">
        <v>126</v>
      </c>
      <c r="B43" s="17"/>
      <c r="C43" s="2"/>
      <c r="D43" s="2"/>
      <c r="E43" s="2"/>
      <c r="F43" s="2"/>
      <c r="G43" s="2"/>
      <c r="H43" s="2"/>
      <c r="I43" s="2"/>
      <c r="J43" s="2"/>
      <c r="K43" s="2"/>
      <c r="L43" s="2"/>
      <c r="M43" s="2"/>
      <c r="N43" s="2"/>
      <c r="O43" s="2"/>
      <c r="P43" s="2"/>
    </row>
    <row r="44" spans="1:16" x14ac:dyDescent="0.35">
      <c r="A44" s="11" t="s">
        <v>86</v>
      </c>
      <c r="B44" s="17"/>
      <c r="C44" s="2"/>
      <c r="D44" s="2"/>
      <c r="E44" s="2"/>
      <c r="F44" s="2"/>
      <c r="G44" s="2"/>
      <c r="H44" s="2"/>
      <c r="I44" s="2"/>
      <c r="J44" s="2"/>
      <c r="K44" s="2"/>
      <c r="L44" s="2"/>
      <c r="M44" s="2"/>
      <c r="N44" s="2"/>
      <c r="O44" s="2"/>
      <c r="P44" s="2"/>
    </row>
    <row r="45" spans="1:16" x14ac:dyDescent="0.35">
      <c r="A45" s="11" t="s">
        <v>87</v>
      </c>
      <c r="B45" s="17">
        <f>-'2024 Check Register-p3'!E121</f>
        <v>2000</v>
      </c>
      <c r="C45" s="2" t="s">
        <v>380</v>
      </c>
      <c r="D45" s="2"/>
      <c r="E45" s="2"/>
      <c r="F45" s="2"/>
      <c r="G45" s="2"/>
      <c r="H45" s="2"/>
      <c r="I45" s="2"/>
      <c r="J45" s="2"/>
      <c r="K45" s="2"/>
      <c r="L45" s="2"/>
      <c r="M45" s="2"/>
      <c r="N45" s="2"/>
      <c r="O45" s="2"/>
      <c r="P45" s="2"/>
    </row>
    <row r="46" spans="1:16" x14ac:dyDescent="0.35">
      <c r="A46" s="11" t="s">
        <v>28</v>
      </c>
      <c r="B46" s="17"/>
      <c r="C46" s="2"/>
      <c r="D46" s="2"/>
      <c r="E46" s="2"/>
      <c r="F46" s="2"/>
      <c r="G46" s="2"/>
      <c r="H46" s="2"/>
      <c r="I46" s="2"/>
      <c r="J46" s="2"/>
      <c r="K46" s="2"/>
      <c r="L46" s="2"/>
      <c r="M46" s="2"/>
      <c r="N46" s="2"/>
      <c r="O46" s="2"/>
      <c r="P46" s="2"/>
    </row>
    <row r="47" spans="1:16" x14ac:dyDescent="0.35">
      <c r="A47" s="25" t="s">
        <v>88</v>
      </c>
      <c r="B47" s="17"/>
      <c r="C47" s="2"/>
    </row>
    <row r="48" spans="1:16" ht="17" x14ac:dyDescent="0.6">
      <c r="A48" s="13" t="s">
        <v>90</v>
      </c>
      <c r="B48" s="19" t="s">
        <v>127</v>
      </c>
      <c r="C48" s="20">
        <f>SUM(B14:B47)</f>
        <v>8332.75</v>
      </c>
    </row>
    <row r="49" spans="1:3" x14ac:dyDescent="0.35">
      <c r="A49" s="2"/>
      <c r="B49" s="6"/>
      <c r="C49" s="2"/>
    </row>
    <row r="50" spans="1:3" ht="15" thickBot="1" x14ac:dyDescent="0.4">
      <c r="A50" s="18" t="s">
        <v>184</v>
      </c>
      <c r="B50" s="4"/>
      <c r="C50" s="21">
        <f>SUM(C4+C11-C48)</f>
        <v>28135.629999999997</v>
      </c>
    </row>
    <row r="51" spans="1:3" ht="15" thickTop="1" x14ac:dyDescent="0.35">
      <c r="C51" s="122"/>
    </row>
    <row r="52" spans="1:3" x14ac:dyDescent="0.35">
      <c r="C52" s="122"/>
    </row>
  </sheetData>
  <pageMargins left="0.7" right="0.7" top="0.75" bottom="0.75" header="0.3" footer="0.3"/>
  <pageSetup scale="85"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F92FE-C1DC-44DD-BA2E-6BFF32356633}">
  <sheetPr>
    <pageSetUpPr fitToPage="1"/>
  </sheetPr>
  <dimension ref="C3:V30"/>
  <sheetViews>
    <sheetView zoomScale="85" zoomScaleNormal="85" workbookViewId="0">
      <pane ySplit="5" topLeftCell="A15" activePane="bottomLeft" state="frozen"/>
      <selection pane="bottomLeft" activeCell="G16" sqref="G16"/>
    </sheetView>
  </sheetViews>
  <sheetFormatPr defaultRowHeight="14.5" x14ac:dyDescent="0.35"/>
  <cols>
    <col min="3" max="3" width="2.1796875" style="117" customWidth="1"/>
    <col min="4" max="4" width="10.54296875" style="185" bestFit="1" customWidth="1"/>
    <col min="5" max="5" width="23.453125" style="117" customWidth="1"/>
    <col min="6" max="6" width="10.26953125" style="117" bestFit="1" customWidth="1"/>
    <col min="7" max="8" width="10.26953125" style="117" customWidth="1"/>
    <col min="9" max="9" width="9.54296875" style="117" bestFit="1" customWidth="1"/>
    <col min="10" max="10" width="9.6328125" style="117" customWidth="1"/>
    <col min="11" max="18" width="9.08984375" customWidth="1"/>
    <col min="19" max="19" width="16.1796875" customWidth="1"/>
    <col min="20" max="21" width="10.26953125" bestFit="1" customWidth="1"/>
    <col min="22" max="22" width="9.54296875" bestFit="1" customWidth="1"/>
  </cols>
  <sheetData>
    <row r="3" spans="4:22" ht="16" x14ac:dyDescent="0.5">
      <c r="D3" s="186" t="s">
        <v>129</v>
      </c>
    </row>
    <row r="4" spans="4:22" x14ac:dyDescent="0.35">
      <c r="D4" s="117" t="s">
        <v>367</v>
      </c>
    </row>
    <row r="5" spans="4:22" ht="101.5" x14ac:dyDescent="0.35">
      <c r="F5" s="191" t="s">
        <v>130</v>
      </c>
      <c r="G5" s="191" t="s">
        <v>96</v>
      </c>
      <c r="H5" s="192" t="s">
        <v>131</v>
      </c>
      <c r="J5" s="191" t="s">
        <v>132</v>
      </c>
      <c r="K5" s="191" t="s">
        <v>99</v>
      </c>
      <c r="L5" s="192" t="s">
        <v>133</v>
      </c>
      <c r="M5" s="192" t="s">
        <v>134</v>
      </c>
      <c r="N5" s="191" t="s">
        <v>135</v>
      </c>
      <c r="O5" s="192" t="s">
        <v>136</v>
      </c>
      <c r="P5" s="192" t="s">
        <v>239</v>
      </c>
      <c r="Q5" s="192" t="s">
        <v>137</v>
      </c>
      <c r="R5" s="192" t="s">
        <v>366</v>
      </c>
      <c r="S5" s="192" t="s">
        <v>330</v>
      </c>
      <c r="T5" s="191" t="s">
        <v>110</v>
      </c>
    </row>
    <row r="6" spans="4:22" x14ac:dyDescent="0.35">
      <c r="D6" s="206">
        <v>45292</v>
      </c>
      <c r="E6" s="164" t="s">
        <v>238</v>
      </c>
      <c r="F6" s="164">
        <v>6000</v>
      </c>
      <c r="G6" s="164">
        <f>+F6+H6</f>
        <v>6000</v>
      </c>
      <c r="H6" s="202"/>
      <c r="J6" s="164"/>
      <c r="K6" s="164"/>
      <c r="L6" s="164"/>
      <c r="M6" s="164"/>
      <c r="N6" s="164"/>
      <c r="O6" s="164"/>
      <c r="P6" s="164"/>
      <c r="Q6" s="164"/>
      <c r="R6" s="164"/>
      <c r="S6" s="164"/>
      <c r="T6" s="164"/>
    </row>
    <row r="7" spans="4:22" x14ac:dyDescent="0.35">
      <c r="D7" s="206">
        <v>45365</v>
      </c>
      <c r="E7" s="164" t="s">
        <v>237</v>
      </c>
      <c r="F7" s="202">
        <v>-2179.1799999999998</v>
      </c>
      <c r="G7" s="202">
        <f>+G6+F7</f>
        <v>3820.82</v>
      </c>
      <c r="H7" s="202"/>
      <c r="J7" s="164">
        <v>897.13</v>
      </c>
      <c r="K7" s="164"/>
      <c r="L7" s="164"/>
      <c r="M7" s="164">
        <f>99+249</f>
        <v>348</v>
      </c>
      <c r="N7" s="164"/>
      <c r="O7" s="164"/>
      <c r="P7" s="164">
        <f>170.05+29</f>
        <v>199.05</v>
      </c>
      <c r="Q7" s="164"/>
      <c r="R7" s="164"/>
      <c r="S7" s="164">
        <v>735</v>
      </c>
      <c r="T7" s="164">
        <f>SUM(J7:S7)</f>
        <v>2179.1800000000003</v>
      </c>
      <c r="U7" s="37">
        <f>-F7-T7</f>
        <v>0</v>
      </c>
    </row>
    <row r="8" spans="4:22" x14ac:dyDescent="0.35">
      <c r="D8" s="206">
        <v>45405</v>
      </c>
      <c r="E8" s="164" t="s">
        <v>237</v>
      </c>
      <c r="F8" s="202">
        <v>-924.38</v>
      </c>
      <c r="G8" s="202">
        <f>+G7+F8</f>
        <v>2896.44</v>
      </c>
      <c r="H8" s="202"/>
      <c r="J8" s="164">
        <v>536.71</v>
      </c>
      <c r="K8" s="164">
        <v>45</v>
      </c>
      <c r="L8" s="164"/>
      <c r="M8" s="164"/>
      <c r="N8" s="164">
        <v>46.08</v>
      </c>
      <c r="O8" s="164">
        <v>22.29</v>
      </c>
      <c r="P8" s="164"/>
      <c r="Q8" s="164"/>
      <c r="R8" s="164"/>
      <c r="S8" s="164">
        <v>274.3</v>
      </c>
      <c r="T8" s="202">
        <f>SUM(J8:S8)</f>
        <v>924.38000000000011</v>
      </c>
      <c r="U8" s="37">
        <f>-F8-T8</f>
        <v>0</v>
      </c>
    </row>
    <row r="9" spans="4:22" x14ac:dyDescent="0.35">
      <c r="D9" s="206">
        <v>45459</v>
      </c>
      <c r="E9" s="164" t="s">
        <v>237</v>
      </c>
      <c r="F9" s="202">
        <f>-422.01+45.6</f>
        <v>-376.40999999999997</v>
      </c>
      <c r="G9" s="202">
        <f>+G8+F9</f>
        <v>2520.0300000000002</v>
      </c>
      <c r="H9" s="202">
        <v>45.6</v>
      </c>
      <c r="J9" s="164">
        <f>148.74+39.76</f>
        <v>188.5</v>
      </c>
      <c r="K9" s="164"/>
      <c r="L9" s="164"/>
      <c r="M9" s="164"/>
      <c r="N9" s="164">
        <f>16.2+20.71</f>
        <v>36.909999999999997</v>
      </c>
      <c r="O9" s="164"/>
      <c r="P9" s="164"/>
      <c r="Q9" s="164">
        <v>114</v>
      </c>
      <c r="R9" s="164"/>
      <c r="S9" s="164">
        <v>37</v>
      </c>
      <c r="T9" s="164">
        <f>SUM(J9:S9)</f>
        <v>376.40999999999997</v>
      </c>
      <c r="U9" s="37">
        <f>-F9-T9-H9</f>
        <v>-45.6</v>
      </c>
      <c r="V9" s="207"/>
    </row>
    <row r="10" spans="4:22" x14ac:dyDescent="0.35">
      <c r="D10" s="206">
        <v>45495</v>
      </c>
      <c r="E10" s="164" t="s">
        <v>237</v>
      </c>
      <c r="F10" s="202">
        <v>-190.12</v>
      </c>
      <c r="G10" s="202">
        <f>+G9+F10</f>
        <v>2329.9100000000003</v>
      </c>
      <c r="H10" s="202"/>
      <c r="J10" s="164">
        <v>81.83</v>
      </c>
      <c r="K10" s="164"/>
      <c r="L10" s="164"/>
      <c r="M10" s="164"/>
      <c r="N10" s="164">
        <v>23.29</v>
      </c>
      <c r="O10" s="164"/>
      <c r="P10" s="164"/>
      <c r="Q10" s="164"/>
      <c r="R10" s="164"/>
      <c r="S10" s="164">
        <v>85</v>
      </c>
      <c r="T10" s="202">
        <f>SUM(J10:S10)</f>
        <v>190.12</v>
      </c>
      <c r="U10" s="37">
        <f>-F10-T10</f>
        <v>0</v>
      </c>
    </row>
    <row r="11" spans="4:22" x14ac:dyDescent="0.35">
      <c r="D11" s="206">
        <v>45560</v>
      </c>
      <c r="E11" s="164" t="s">
        <v>327</v>
      </c>
      <c r="F11" s="202">
        <f>-100.07+0.03</f>
        <v>-100.03999999999999</v>
      </c>
      <c r="G11" s="202">
        <f t="shared" ref="G11:G16" si="0">+G10+F11</f>
        <v>2229.8700000000003</v>
      </c>
      <c r="H11" s="202"/>
      <c r="J11" s="164"/>
      <c r="K11" s="164">
        <v>51.3</v>
      </c>
      <c r="L11" s="164"/>
      <c r="M11" s="164"/>
      <c r="N11" s="164"/>
      <c r="O11" s="164"/>
      <c r="P11" s="164"/>
      <c r="Q11" s="164"/>
      <c r="R11" s="164">
        <f>48.77-0.03</f>
        <v>48.74</v>
      </c>
      <c r="S11" s="164"/>
      <c r="T11" s="202">
        <f t="shared" ref="T11:T16" si="1">SUM(J11:S11)</f>
        <v>100.03999999999999</v>
      </c>
      <c r="U11" s="37"/>
    </row>
    <row r="12" spans="4:22" x14ac:dyDescent="0.35">
      <c r="D12" s="206">
        <v>45560</v>
      </c>
      <c r="E12" s="164" t="s">
        <v>328</v>
      </c>
      <c r="F12" s="202">
        <v>-8.9499999999999993</v>
      </c>
      <c r="G12" s="202">
        <f t="shared" si="0"/>
        <v>2220.9200000000005</v>
      </c>
      <c r="H12" s="202"/>
      <c r="J12" s="164"/>
      <c r="K12" s="164"/>
      <c r="L12" s="164"/>
      <c r="M12" s="164"/>
      <c r="N12" s="164"/>
      <c r="O12" s="164"/>
      <c r="P12" s="164"/>
      <c r="Q12" s="164"/>
      <c r="R12" s="164"/>
      <c r="S12" s="164">
        <v>8.9499999999999993</v>
      </c>
      <c r="T12" s="202">
        <f t="shared" si="1"/>
        <v>8.9499999999999993</v>
      </c>
      <c r="U12" s="37"/>
    </row>
    <row r="13" spans="4:22" x14ac:dyDescent="0.35">
      <c r="D13" s="206">
        <v>45560</v>
      </c>
      <c r="E13" s="164" t="s">
        <v>329</v>
      </c>
      <c r="F13" s="202">
        <v>-135</v>
      </c>
      <c r="G13" s="202">
        <f t="shared" si="0"/>
        <v>2085.9200000000005</v>
      </c>
      <c r="H13" s="202"/>
      <c r="J13" s="164"/>
      <c r="K13" s="164"/>
      <c r="L13" s="164"/>
      <c r="M13" s="164"/>
      <c r="N13" s="164"/>
      <c r="O13" s="164"/>
      <c r="P13" s="164"/>
      <c r="Q13" s="164"/>
      <c r="R13" s="164"/>
      <c r="S13" s="164">
        <v>135</v>
      </c>
      <c r="T13" s="202">
        <f t="shared" si="1"/>
        <v>135</v>
      </c>
      <c r="U13" s="37"/>
    </row>
    <row r="14" spans="4:22" x14ac:dyDescent="0.35">
      <c r="D14" s="206">
        <v>45560</v>
      </c>
      <c r="E14" s="164" t="s">
        <v>237</v>
      </c>
      <c r="F14" s="202">
        <f>-686.59+30.6</f>
        <v>-655.99</v>
      </c>
      <c r="G14" s="202">
        <f t="shared" si="0"/>
        <v>1429.9300000000005</v>
      </c>
      <c r="H14" s="202">
        <v>30.6</v>
      </c>
      <c r="J14" s="164">
        <v>66.540000000000006</v>
      </c>
      <c r="K14" s="164"/>
      <c r="L14" s="164"/>
      <c r="M14" s="164">
        <v>348</v>
      </c>
      <c r="N14" s="164">
        <v>29.45</v>
      </c>
      <c r="O14" s="164"/>
      <c r="P14" s="164"/>
      <c r="Q14" s="164"/>
      <c r="R14" s="164"/>
      <c r="S14" s="164">
        <f>175+37</f>
        <v>212</v>
      </c>
      <c r="T14" s="202">
        <f t="shared" si="1"/>
        <v>655.99</v>
      </c>
      <c r="U14" s="37">
        <f>-F14-T14-H14</f>
        <v>-30.6</v>
      </c>
    </row>
    <row r="15" spans="4:22" x14ac:dyDescent="0.35">
      <c r="D15" s="206">
        <v>45593</v>
      </c>
      <c r="E15" s="164" t="s">
        <v>237</v>
      </c>
      <c r="F15" s="202">
        <v>-432.48</v>
      </c>
      <c r="G15" s="202">
        <f t="shared" si="0"/>
        <v>997.4500000000005</v>
      </c>
      <c r="H15" s="202"/>
      <c r="J15" s="164"/>
      <c r="K15" s="164"/>
      <c r="L15" s="164"/>
      <c r="M15" s="164"/>
      <c r="N15" s="164"/>
      <c r="O15" s="164">
        <f>68.35+38.25</f>
        <v>106.6</v>
      </c>
      <c r="P15" s="164"/>
      <c r="Q15" s="164"/>
      <c r="R15" s="164">
        <v>325.88</v>
      </c>
      <c r="S15" s="164"/>
      <c r="T15" s="202">
        <f t="shared" si="1"/>
        <v>432.48</v>
      </c>
      <c r="U15" s="37"/>
    </row>
    <row r="16" spans="4:22" x14ac:dyDescent="0.35">
      <c r="D16" s="206">
        <v>45596</v>
      </c>
      <c r="E16" s="164" t="s">
        <v>377</v>
      </c>
      <c r="F16" s="202">
        <v>-27.6</v>
      </c>
      <c r="G16" s="202">
        <f t="shared" si="0"/>
        <v>969.85000000000048</v>
      </c>
      <c r="H16" s="202"/>
      <c r="J16" s="164"/>
      <c r="K16" s="164">
        <v>27.6</v>
      </c>
      <c r="L16" s="164"/>
      <c r="M16" s="164"/>
      <c r="N16" s="164"/>
      <c r="O16" s="164"/>
      <c r="P16" s="164"/>
      <c r="Q16" s="164"/>
      <c r="R16" s="164"/>
      <c r="S16" s="164"/>
      <c r="T16" s="202">
        <f t="shared" si="1"/>
        <v>27.6</v>
      </c>
      <c r="U16" s="37"/>
    </row>
    <row r="17" spans="4:21" x14ac:dyDescent="0.35">
      <c r="D17" s="206"/>
      <c r="E17" s="202"/>
      <c r="F17" s="202"/>
      <c r="G17" s="202"/>
      <c r="H17" s="202"/>
      <c r="J17" s="164"/>
      <c r="K17" s="164"/>
      <c r="L17" s="164"/>
      <c r="M17" s="164"/>
      <c r="N17" s="164"/>
      <c r="O17" s="164"/>
      <c r="P17" s="164"/>
      <c r="Q17" s="164"/>
      <c r="R17" s="164"/>
      <c r="S17" s="164"/>
      <c r="T17" s="202">
        <f>SUM(J17:S17)</f>
        <v>0</v>
      </c>
      <c r="U17" s="37">
        <f>-F17-T17</f>
        <v>0</v>
      </c>
    </row>
    <row r="18" spans="4:21" x14ac:dyDescent="0.35">
      <c r="D18" s="223"/>
      <c r="E18" s="224"/>
      <c r="F18" s="224">
        <f>SUM(F7:F17)</f>
        <v>-5030.1499999999996</v>
      </c>
      <c r="G18" s="224"/>
      <c r="H18" s="224"/>
      <c r="J18" s="225"/>
      <c r="K18" s="225"/>
      <c r="L18" s="225"/>
      <c r="M18" s="225"/>
      <c r="N18" s="225"/>
      <c r="O18" s="225"/>
      <c r="P18" s="225"/>
      <c r="Q18" s="225"/>
      <c r="R18" s="225"/>
      <c r="S18" s="225"/>
      <c r="T18" s="224"/>
      <c r="U18" s="37"/>
    </row>
    <row r="19" spans="4:21" x14ac:dyDescent="0.35">
      <c r="F19" s="117" t="s">
        <v>139</v>
      </c>
    </row>
    <row r="20" spans="4:21" x14ac:dyDescent="0.35">
      <c r="E20" s="191" t="s">
        <v>94</v>
      </c>
      <c r="F20" s="191" t="s">
        <v>138</v>
      </c>
      <c r="G20" s="191" t="s">
        <v>140</v>
      </c>
      <c r="J20" s="117">
        <f t="shared" ref="J20:T20" si="2">SUM(J7:J17)</f>
        <v>1770.71</v>
      </c>
      <c r="K20" s="117">
        <f t="shared" si="2"/>
        <v>123.9</v>
      </c>
      <c r="L20" s="117">
        <f t="shared" si="2"/>
        <v>0</v>
      </c>
      <c r="M20" s="117">
        <f t="shared" si="2"/>
        <v>696</v>
      </c>
      <c r="N20" s="117">
        <f t="shared" si="2"/>
        <v>135.72999999999999</v>
      </c>
      <c r="O20" s="117">
        <f t="shared" si="2"/>
        <v>128.88999999999999</v>
      </c>
      <c r="P20" s="117">
        <f t="shared" si="2"/>
        <v>199.05</v>
      </c>
      <c r="Q20" s="117">
        <f t="shared" si="2"/>
        <v>114</v>
      </c>
      <c r="R20" s="117">
        <f t="shared" si="2"/>
        <v>374.62</v>
      </c>
      <c r="S20" s="117">
        <f t="shared" si="2"/>
        <v>1487.25</v>
      </c>
      <c r="T20" s="117">
        <f t="shared" si="2"/>
        <v>5030.1499999999996</v>
      </c>
    </row>
    <row r="21" spans="4:21" x14ac:dyDescent="0.35">
      <c r="E21" s="164" t="s">
        <v>99</v>
      </c>
      <c r="F21" s="164">
        <f>+K20</f>
        <v>123.9</v>
      </c>
      <c r="G21" s="200">
        <f t="shared" ref="G21:G23" si="3">+F21/F$29</f>
        <v>2.4631472222498337E-2</v>
      </c>
      <c r="K21" s="117"/>
      <c r="L21" s="117"/>
      <c r="M21" s="117"/>
      <c r="N21" s="117"/>
      <c r="O21" s="117"/>
      <c r="P21" s="117"/>
      <c r="Q21" s="117"/>
      <c r="R21" s="117"/>
      <c r="S21" s="117"/>
      <c r="T21" s="117">
        <f>+'EXPENSES-p2'!C26</f>
        <v>5030.1499999999996</v>
      </c>
    </row>
    <row r="22" spans="4:21" x14ac:dyDescent="0.35">
      <c r="E22" s="164" t="s">
        <v>141</v>
      </c>
      <c r="F22" s="164">
        <f>+O20</f>
        <v>128.88999999999999</v>
      </c>
      <c r="G22" s="200">
        <f t="shared" si="3"/>
        <v>2.5623490353170381E-2</v>
      </c>
      <c r="K22" s="117"/>
      <c r="L22" s="117"/>
      <c r="M22" s="117"/>
      <c r="N22" s="117"/>
      <c r="O22" s="117"/>
      <c r="P22" s="117"/>
      <c r="Q22" s="117"/>
      <c r="R22" s="117"/>
      <c r="S22" s="117"/>
      <c r="T22" s="117">
        <f>+T20-T21</f>
        <v>0</v>
      </c>
    </row>
    <row r="23" spans="4:21" x14ac:dyDescent="0.35">
      <c r="E23" s="164" t="s">
        <v>331</v>
      </c>
      <c r="F23" s="164">
        <f>+Q20+R20</f>
        <v>488.62</v>
      </c>
      <c r="G23" s="200">
        <f t="shared" si="3"/>
        <v>9.7138256314424035E-2</v>
      </c>
      <c r="K23" s="117"/>
      <c r="L23" s="117"/>
      <c r="M23" s="117"/>
      <c r="N23" s="117"/>
      <c r="O23" s="117"/>
      <c r="P23" s="117"/>
      <c r="Q23" s="117"/>
      <c r="R23" s="117"/>
      <c r="S23" s="117"/>
      <c r="T23" s="117"/>
    </row>
    <row r="24" spans="4:21" x14ac:dyDescent="0.35">
      <c r="E24" s="164" t="s">
        <v>240</v>
      </c>
      <c r="F24" s="164">
        <f>+P20</f>
        <v>199.05</v>
      </c>
      <c r="G24" s="200">
        <f>+F24/F$29</f>
        <v>3.9571384551156531E-2</v>
      </c>
      <c r="K24" s="117"/>
      <c r="L24" s="117"/>
      <c r="M24" s="117"/>
      <c r="N24" s="117"/>
      <c r="O24" s="117"/>
      <c r="P24" s="117"/>
      <c r="Q24" s="117"/>
      <c r="R24" s="117"/>
      <c r="S24" s="117"/>
      <c r="T24" s="117"/>
    </row>
    <row r="25" spans="4:21" x14ac:dyDescent="0.35">
      <c r="E25" s="164" t="s">
        <v>135</v>
      </c>
      <c r="F25" s="164">
        <f>+N20</f>
        <v>135.72999999999999</v>
      </c>
      <c r="G25" s="200">
        <f>+F25/F$29</f>
        <v>2.6983290756736878E-2</v>
      </c>
      <c r="K25" s="117"/>
      <c r="L25" s="117"/>
      <c r="M25" s="117"/>
      <c r="N25" s="117"/>
      <c r="O25" s="117"/>
      <c r="P25" s="117"/>
      <c r="Q25" s="117"/>
      <c r="R25" s="117"/>
      <c r="S25" s="117"/>
      <c r="T25" s="117"/>
    </row>
    <row r="26" spans="4:21" x14ac:dyDescent="0.35">
      <c r="E26" s="193" t="s">
        <v>132</v>
      </c>
      <c r="F26" s="193">
        <f>+J20</f>
        <v>1770.71</v>
      </c>
      <c r="G26" s="204">
        <f>+F26/F$29</f>
        <v>0.35201932347941911</v>
      </c>
    </row>
    <row r="27" spans="4:21" x14ac:dyDescent="0.35">
      <c r="E27" s="164" t="s">
        <v>142</v>
      </c>
      <c r="F27" s="164">
        <f>+L20+M20</f>
        <v>696</v>
      </c>
      <c r="G27" s="200">
        <f>+F27/F$29</f>
        <v>0.13836565509974852</v>
      </c>
    </row>
    <row r="28" spans="4:21" ht="72.5" x14ac:dyDescent="0.35">
      <c r="E28" s="219" t="s">
        <v>241</v>
      </c>
      <c r="F28" s="193">
        <f>+S20</f>
        <v>1487.25</v>
      </c>
      <c r="G28" s="204">
        <f>+F28/F$29</f>
        <v>0.29566712722284627</v>
      </c>
    </row>
    <row r="29" spans="4:21" ht="15" thickBot="1" x14ac:dyDescent="0.4">
      <c r="E29" s="201" t="s">
        <v>143</v>
      </c>
      <c r="F29" s="199">
        <f>SUM(F21:F28)</f>
        <v>5030.1499999999996</v>
      </c>
      <c r="G29" s="203">
        <f>SUM(G21:G28)</f>
        <v>1</v>
      </c>
    </row>
    <row r="30" spans="4:21" ht="15" thickTop="1" x14ac:dyDescent="0.35">
      <c r="F30" s="117">
        <f>+F29+F18</f>
        <v>0</v>
      </c>
    </row>
  </sheetData>
  <pageMargins left="0.7" right="0.7" top="0.75" bottom="0.75" header="0.3" footer="0.3"/>
  <pageSetup scale="57"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A0DA2B-D010-4C19-BB50-DA908E4B5B75}">
  <dimension ref="B3:G21"/>
  <sheetViews>
    <sheetView workbookViewId="0">
      <selection activeCell="C1" sqref="C1"/>
    </sheetView>
  </sheetViews>
  <sheetFormatPr defaultRowHeight="14.5" x14ac:dyDescent="0.35"/>
  <cols>
    <col min="2" max="2" width="10.08984375" bestFit="1" customWidth="1"/>
    <col min="3" max="3" width="20" bestFit="1" customWidth="1"/>
    <col min="7" max="7" width="9.36328125" customWidth="1"/>
  </cols>
  <sheetData>
    <row r="3" spans="2:7" x14ac:dyDescent="0.35">
      <c r="B3" s="229" t="s">
        <v>285</v>
      </c>
    </row>
    <row r="4" spans="2:7" x14ac:dyDescent="0.35">
      <c r="B4" s="236" t="s">
        <v>323</v>
      </c>
    </row>
    <row r="6" spans="2:7" x14ac:dyDescent="0.35">
      <c r="B6" s="227" t="s">
        <v>269</v>
      </c>
      <c r="C6" s="227" t="s">
        <v>272</v>
      </c>
      <c r="D6" s="233" t="s">
        <v>270</v>
      </c>
      <c r="E6" s="233" t="s">
        <v>271</v>
      </c>
      <c r="F6" s="233" t="s">
        <v>138</v>
      </c>
      <c r="G6" s="234"/>
    </row>
    <row r="7" spans="2:7" x14ac:dyDescent="0.35">
      <c r="B7" s="68" t="s">
        <v>273</v>
      </c>
      <c r="C7" s="68" t="s">
        <v>274</v>
      </c>
      <c r="D7" s="235"/>
      <c r="E7" s="235">
        <v>8.5</v>
      </c>
      <c r="F7" s="235" t="s">
        <v>284</v>
      </c>
      <c r="G7" s="228"/>
    </row>
    <row r="8" spans="2:7" x14ac:dyDescent="0.35">
      <c r="B8" s="243" t="s">
        <v>275</v>
      </c>
      <c r="C8" s="243" t="s">
        <v>276</v>
      </c>
      <c r="D8" s="244"/>
      <c r="E8" s="244">
        <v>8.5</v>
      </c>
      <c r="F8" s="244" t="s">
        <v>284</v>
      </c>
      <c r="G8" s="228" t="s">
        <v>354</v>
      </c>
    </row>
    <row r="9" spans="2:7" x14ac:dyDescent="0.35">
      <c r="B9" s="68" t="s">
        <v>277</v>
      </c>
      <c r="C9" s="68" t="s">
        <v>278</v>
      </c>
      <c r="D9" s="235"/>
      <c r="E9" s="235"/>
      <c r="F9" s="235">
        <v>8.5</v>
      </c>
      <c r="G9" s="228"/>
    </row>
    <row r="10" spans="2:7" x14ac:dyDescent="0.35">
      <c r="B10" s="68" t="s">
        <v>279</v>
      </c>
      <c r="C10" s="68" t="s">
        <v>278</v>
      </c>
      <c r="D10" s="235"/>
      <c r="E10" s="235"/>
      <c r="F10" s="235">
        <v>8.5</v>
      </c>
      <c r="G10" s="228"/>
    </row>
    <row r="11" spans="2:7" x14ac:dyDescent="0.35">
      <c r="B11" s="68" t="s">
        <v>280</v>
      </c>
      <c r="C11" s="68" t="s">
        <v>281</v>
      </c>
      <c r="D11" s="235"/>
      <c r="E11" s="235"/>
      <c r="F11" s="235">
        <v>8.5</v>
      </c>
      <c r="G11" s="228"/>
    </row>
    <row r="12" spans="2:7" x14ac:dyDescent="0.35">
      <c r="B12" s="68" t="s">
        <v>282</v>
      </c>
      <c r="C12" s="68" t="s">
        <v>283</v>
      </c>
      <c r="D12" s="235"/>
      <c r="E12" s="235">
        <v>8.5</v>
      </c>
      <c r="F12" s="235" t="s">
        <v>284</v>
      </c>
      <c r="G12" s="228"/>
    </row>
    <row r="13" spans="2:7" x14ac:dyDescent="0.35">
      <c r="B13" s="68" t="s">
        <v>311</v>
      </c>
      <c r="C13" s="68" t="s">
        <v>313</v>
      </c>
      <c r="D13" s="235">
        <v>8.5</v>
      </c>
      <c r="E13" s="235"/>
      <c r="F13" s="235"/>
      <c r="G13" s="228"/>
    </row>
    <row r="14" spans="2:7" x14ac:dyDescent="0.35">
      <c r="B14" s="68" t="s">
        <v>312</v>
      </c>
      <c r="C14" s="68" t="s">
        <v>278</v>
      </c>
      <c r="D14" s="235">
        <v>8.5</v>
      </c>
      <c r="E14" s="235"/>
      <c r="F14" s="235"/>
      <c r="G14" s="228"/>
    </row>
    <row r="15" spans="2:7" x14ac:dyDescent="0.35">
      <c r="B15" s="68" t="s">
        <v>314</v>
      </c>
      <c r="C15" s="68" t="s">
        <v>315</v>
      </c>
      <c r="D15" s="235">
        <v>8.5</v>
      </c>
      <c r="E15" s="235"/>
      <c r="F15" s="235"/>
      <c r="G15" s="228"/>
    </row>
    <row r="16" spans="2:7" x14ac:dyDescent="0.35">
      <c r="B16" s="243" t="s">
        <v>316</v>
      </c>
      <c r="C16" s="243" t="s">
        <v>64</v>
      </c>
      <c r="D16" s="244"/>
      <c r="E16" s="244">
        <v>8.5</v>
      </c>
      <c r="F16" s="244"/>
      <c r="G16" s="228" t="s">
        <v>353</v>
      </c>
    </row>
    <row r="17" spans="2:7" x14ac:dyDescent="0.35">
      <c r="B17" s="68" t="s">
        <v>317</v>
      </c>
      <c r="C17" s="68" t="s">
        <v>318</v>
      </c>
      <c r="D17" s="235">
        <v>8.5</v>
      </c>
      <c r="E17" s="68"/>
      <c r="F17" s="68"/>
    </row>
    <row r="20" spans="2:7" x14ac:dyDescent="0.35">
      <c r="B20" s="68" t="s">
        <v>352</v>
      </c>
      <c r="C20" s="68" t="s">
        <v>64</v>
      </c>
      <c r="D20" s="235"/>
      <c r="E20" s="235">
        <v>8.5</v>
      </c>
      <c r="F20" s="235"/>
      <c r="G20" t="s">
        <v>370</v>
      </c>
    </row>
    <row r="21" spans="2:7" x14ac:dyDescent="0.35">
      <c r="B21" s="68" t="s">
        <v>355</v>
      </c>
      <c r="C21" s="68" t="s">
        <v>276</v>
      </c>
      <c r="D21" s="235"/>
      <c r="E21" s="235">
        <v>8.5</v>
      </c>
      <c r="F21" s="68"/>
      <c r="G21" t="s">
        <v>371</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3C9D7-1C96-4ABD-A407-5C836651F051}">
  <sheetPr>
    <tabColor rgb="FF00B0F0"/>
    <pageSetUpPr fitToPage="1"/>
  </sheetPr>
  <dimension ref="A1:D51"/>
  <sheetViews>
    <sheetView topLeftCell="A27" zoomScaleNormal="100" workbookViewId="0">
      <selection activeCell="B39" sqref="B39"/>
    </sheetView>
  </sheetViews>
  <sheetFormatPr defaultRowHeight="14.5" x14ac:dyDescent="0.35"/>
  <cols>
    <col min="1" max="1" width="42.54296875" customWidth="1"/>
    <col min="2" max="2" width="15.54296875" customWidth="1"/>
    <col min="3" max="3" width="20.1796875" customWidth="1"/>
    <col min="4" max="4" width="28.1796875" customWidth="1"/>
  </cols>
  <sheetData>
    <row r="1" spans="1:4" ht="23.5" x14ac:dyDescent="0.55000000000000004">
      <c r="D1" s="173"/>
    </row>
    <row r="2" spans="1:4" x14ac:dyDescent="0.35">
      <c r="A2" s="4" t="s">
        <v>177</v>
      </c>
      <c r="B2" s="2"/>
      <c r="C2" s="2"/>
      <c r="D2" s="23" t="s">
        <v>23</v>
      </c>
    </row>
    <row r="3" spans="1:4" x14ac:dyDescent="0.35">
      <c r="A3" s="1"/>
      <c r="B3" s="6"/>
      <c r="C3" s="7"/>
    </row>
    <row r="4" spans="1:4" ht="15" thickBot="1" x14ac:dyDescent="0.4">
      <c r="A4" s="8" t="s">
        <v>178</v>
      </c>
      <c r="B4" s="6"/>
      <c r="C4" s="9">
        <f>+'Jul 2024'!C50</f>
        <v>32648.239999999998</v>
      </c>
    </row>
    <row r="5" spans="1:4" x14ac:dyDescent="0.35">
      <c r="A5" s="10" t="s">
        <v>33</v>
      </c>
      <c r="B5" s="6"/>
      <c r="C5" s="7"/>
    </row>
    <row r="6" spans="1:4" x14ac:dyDescent="0.35">
      <c r="A6" s="11" t="s">
        <v>17</v>
      </c>
      <c r="B6" s="176">
        <f>1239+1175</f>
        <v>2414</v>
      </c>
      <c r="C6" s="7"/>
    </row>
    <row r="7" spans="1:4" x14ac:dyDescent="0.35">
      <c r="A7" s="175" t="s">
        <v>114</v>
      </c>
      <c r="B7" s="178"/>
      <c r="C7" s="7"/>
    </row>
    <row r="8" spans="1:4" x14ac:dyDescent="0.35">
      <c r="A8" s="82" t="s">
        <v>20</v>
      </c>
      <c r="B8" s="132"/>
      <c r="C8" s="26"/>
    </row>
    <row r="9" spans="1:4" x14ac:dyDescent="0.35">
      <c r="A9" s="11" t="s">
        <v>116</v>
      </c>
      <c r="B9" s="177"/>
      <c r="C9" s="7"/>
    </row>
    <row r="10" spans="1:4" x14ac:dyDescent="0.35">
      <c r="A10" s="11" t="s">
        <v>117</v>
      </c>
      <c r="B10" s="12"/>
      <c r="C10" s="7"/>
    </row>
    <row r="11" spans="1:4" ht="17" x14ac:dyDescent="0.6">
      <c r="A11" s="13" t="s">
        <v>118</v>
      </c>
      <c r="B11" s="14" t="s">
        <v>119</v>
      </c>
      <c r="C11" s="15">
        <f>SUM(B6:B10)</f>
        <v>2414</v>
      </c>
    </row>
    <row r="12" spans="1:4" x14ac:dyDescent="0.35">
      <c r="A12" s="1"/>
      <c r="B12" s="16"/>
      <c r="C12" s="7"/>
    </row>
    <row r="13" spans="1:4" x14ac:dyDescent="0.35">
      <c r="A13" s="10" t="s">
        <v>34</v>
      </c>
      <c r="B13" s="16"/>
      <c r="C13" s="7"/>
    </row>
    <row r="14" spans="1:4" x14ac:dyDescent="0.35">
      <c r="A14" s="11" t="s">
        <v>57</v>
      </c>
      <c r="B14" s="17"/>
      <c r="C14" s="7"/>
    </row>
    <row r="15" spans="1:4" x14ac:dyDescent="0.35">
      <c r="A15" s="11" t="s">
        <v>58</v>
      </c>
      <c r="B15" s="17"/>
      <c r="C15" s="7"/>
    </row>
    <row r="16" spans="1:4" x14ac:dyDescent="0.35">
      <c r="A16" s="11" t="s">
        <v>59</v>
      </c>
      <c r="B16" s="17"/>
      <c r="C16" s="7"/>
    </row>
    <row r="17" spans="1:3" x14ac:dyDescent="0.35">
      <c r="A17" s="11" t="s">
        <v>120</v>
      </c>
      <c r="B17" s="17"/>
      <c r="C17" s="7"/>
    </row>
    <row r="18" spans="1:3" x14ac:dyDescent="0.35">
      <c r="A18" s="11" t="s">
        <v>61</v>
      </c>
      <c r="B18" s="17">
        <v>21.65</v>
      </c>
      <c r="C18" s="7"/>
    </row>
    <row r="19" spans="1:3" x14ac:dyDescent="0.35">
      <c r="A19" s="11" t="s">
        <v>62</v>
      </c>
      <c r="B19" s="17"/>
      <c r="C19" s="7"/>
    </row>
    <row r="20" spans="1:3" x14ac:dyDescent="0.35">
      <c r="A20" s="11" t="s">
        <v>63</v>
      </c>
      <c r="B20" s="17"/>
      <c r="C20" s="7"/>
    </row>
    <row r="21" spans="1:3" x14ac:dyDescent="0.35">
      <c r="A21" s="11" t="s">
        <v>64</v>
      </c>
      <c r="B21" s="17">
        <v>8.5</v>
      </c>
      <c r="C21" s="7" t="s">
        <v>322</v>
      </c>
    </row>
    <row r="22" spans="1:3" x14ac:dyDescent="0.35">
      <c r="A22" s="11" t="s">
        <v>121</v>
      </c>
      <c r="B22" s="17"/>
      <c r="C22" s="7"/>
    </row>
    <row r="23" spans="1:3" x14ac:dyDescent="0.35">
      <c r="A23" s="11" t="s">
        <v>66</v>
      </c>
      <c r="B23" s="17"/>
      <c r="C23" s="7"/>
    </row>
    <row r="24" spans="1:3" x14ac:dyDescent="0.35">
      <c r="A24" s="11" t="s">
        <v>67</v>
      </c>
      <c r="B24" s="17"/>
      <c r="C24" s="7"/>
    </row>
    <row r="25" spans="1:3" x14ac:dyDescent="0.35">
      <c r="A25" s="11" t="s">
        <v>68</v>
      </c>
      <c r="B25" s="17"/>
      <c r="C25" s="7"/>
    </row>
    <row r="26" spans="1:3" x14ac:dyDescent="0.35">
      <c r="A26" s="11" t="s">
        <v>69</v>
      </c>
      <c r="B26" s="17"/>
      <c r="C26" s="7"/>
    </row>
    <row r="27" spans="1:3" x14ac:dyDescent="0.35">
      <c r="A27" s="11" t="s">
        <v>122</v>
      </c>
      <c r="B27" s="17"/>
      <c r="C27" s="7"/>
    </row>
    <row r="28" spans="1:3" x14ac:dyDescent="0.35">
      <c r="A28" s="11" t="s">
        <v>123</v>
      </c>
      <c r="B28" s="17"/>
      <c r="C28" s="7"/>
    </row>
    <row r="29" spans="1:3" x14ac:dyDescent="0.35">
      <c r="A29" s="11" t="s">
        <v>72</v>
      </c>
      <c r="B29" s="17"/>
      <c r="C29" s="7"/>
    </row>
    <row r="30" spans="1:3" x14ac:dyDescent="0.35">
      <c r="A30" s="11" t="s">
        <v>73</v>
      </c>
      <c r="B30" s="17"/>
      <c r="C30" s="7"/>
    </row>
    <row r="31" spans="1:3" x14ac:dyDescent="0.35">
      <c r="A31" s="11" t="s">
        <v>74</v>
      </c>
      <c r="B31" s="17">
        <f>+'Mileage-p4'!J19</f>
        <v>0</v>
      </c>
      <c r="C31" s="7" t="s">
        <v>124</v>
      </c>
    </row>
    <row r="32" spans="1:3" x14ac:dyDescent="0.35">
      <c r="A32" s="11" t="s">
        <v>125</v>
      </c>
      <c r="B32" s="17">
        <f>52.76-8.5</f>
        <v>44.26</v>
      </c>
      <c r="C32" s="2" t="s">
        <v>325</v>
      </c>
    </row>
    <row r="33" spans="1:4" x14ac:dyDescent="0.35">
      <c r="A33" s="11" t="s">
        <v>76</v>
      </c>
      <c r="B33" s="17"/>
      <c r="C33" s="7"/>
    </row>
    <row r="34" spans="1:4" x14ac:dyDescent="0.35">
      <c r="A34" s="11" t="s">
        <v>77</v>
      </c>
      <c r="B34" s="17"/>
      <c r="C34" s="7"/>
    </row>
    <row r="35" spans="1:4" x14ac:dyDescent="0.35">
      <c r="A35" s="11" t="s">
        <v>54</v>
      </c>
      <c r="B35" s="17"/>
      <c r="C35" s="7"/>
    </row>
    <row r="36" spans="1:4" x14ac:dyDescent="0.35">
      <c r="A36" s="11" t="s">
        <v>78</v>
      </c>
      <c r="B36" s="17"/>
      <c r="C36" s="7"/>
    </row>
    <row r="37" spans="1:4" x14ac:dyDescent="0.35">
      <c r="A37" s="11" t="s">
        <v>79</v>
      </c>
      <c r="B37" s="17"/>
      <c r="C37" s="7"/>
    </row>
    <row r="38" spans="1:4" x14ac:dyDescent="0.35">
      <c r="A38" s="25" t="s">
        <v>80</v>
      </c>
      <c r="B38" s="17"/>
      <c r="C38" s="7"/>
    </row>
    <row r="39" spans="1:4" x14ac:dyDescent="0.35">
      <c r="A39" s="11" t="s">
        <v>81</v>
      </c>
      <c r="B39" s="17"/>
      <c r="C39" s="259" t="s">
        <v>375</v>
      </c>
      <c r="D39" s="259"/>
    </row>
    <row r="40" spans="1:4" x14ac:dyDescent="0.35">
      <c r="A40" s="11" t="s">
        <v>82</v>
      </c>
      <c r="B40" s="17"/>
      <c r="C40" s="2"/>
    </row>
    <row r="41" spans="1:4" x14ac:dyDescent="0.35">
      <c r="A41" s="25" t="s">
        <v>83</v>
      </c>
      <c r="B41" s="17"/>
      <c r="C41" s="2"/>
    </row>
    <row r="42" spans="1:4" x14ac:dyDescent="0.35">
      <c r="A42" s="27" t="s">
        <v>24</v>
      </c>
      <c r="B42" s="28"/>
      <c r="C42" s="2"/>
    </row>
    <row r="43" spans="1:4" x14ac:dyDescent="0.35">
      <c r="A43" s="11" t="s">
        <v>126</v>
      </c>
      <c r="B43" s="17"/>
      <c r="C43" s="2"/>
    </row>
    <row r="44" spans="1:4" x14ac:dyDescent="0.35">
      <c r="A44" s="11" t="s">
        <v>86</v>
      </c>
      <c r="B44" s="17"/>
      <c r="C44" s="2"/>
    </row>
    <row r="45" spans="1:4" x14ac:dyDescent="0.35">
      <c r="A45" s="11" t="s">
        <v>87</v>
      </c>
      <c r="B45" s="17"/>
      <c r="C45" s="2"/>
    </row>
    <row r="46" spans="1:4" x14ac:dyDescent="0.35">
      <c r="A46" s="11" t="s">
        <v>28</v>
      </c>
      <c r="B46" s="17"/>
      <c r="C46" s="2"/>
    </row>
    <row r="47" spans="1:4" x14ac:dyDescent="0.35">
      <c r="A47" s="25" t="s">
        <v>88</v>
      </c>
      <c r="B47" s="17"/>
      <c r="C47" s="2"/>
    </row>
    <row r="48" spans="1:4" ht="17" x14ac:dyDescent="0.6">
      <c r="A48" s="13" t="s">
        <v>90</v>
      </c>
      <c r="B48" s="19" t="s">
        <v>127</v>
      </c>
      <c r="C48" s="20">
        <f>SUM(B14:B47)</f>
        <v>74.41</v>
      </c>
    </row>
    <row r="49" spans="1:3" x14ac:dyDescent="0.35">
      <c r="A49" s="2"/>
      <c r="B49" s="6"/>
      <c r="C49" s="2"/>
    </row>
    <row r="50" spans="1:3" ht="15" thickBot="1" x14ac:dyDescent="0.4">
      <c r="A50" s="18" t="s">
        <v>179</v>
      </c>
      <c r="B50" s="4"/>
      <c r="C50" s="21">
        <f>SUM(C4+C11-C48)</f>
        <v>34987.829999999994</v>
      </c>
    </row>
    <row r="51" spans="1:3" ht="15" thickTop="1" x14ac:dyDescent="0.35">
      <c r="C51" s="122"/>
    </row>
  </sheetData>
  <mergeCells count="1">
    <mergeCell ref="C39:D39"/>
  </mergeCells>
  <pageMargins left="0.7" right="0.7" top="0.75" bottom="0.75" header="0.3" footer="0.3"/>
  <pageSetup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11</vt:i4>
      </vt:variant>
    </vt:vector>
  </HeadingPairs>
  <TitlesOfParts>
    <vt:vector size="29" baseType="lpstr">
      <vt:lpstr>INCOME-p1</vt:lpstr>
      <vt:lpstr>EXPENSES-p2</vt:lpstr>
      <vt:lpstr>2024 Check Register-p3</vt:lpstr>
      <vt:lpstr>Mileage-p4</vt:lpstr>
      <vt:lpstr>Sept 2024 p5</vt:lpstr>
      <vt:lpstr>October 2024 p6</vt:lpstr>
      <vt:lpstr>PO</vt:lpstr>
      <vt:lpstr>Badges</vt:lpstr>
      <vt:lpstr>Aug 2024</vt:lpstr>
      <vt:lpstr>Jul 2024</vt:lpstr>
      <vt:lpstr>June 2024</vt:lpstr>
      <vt:lpstr>May 2024</vt:lpstr>
      <vt:lpstr>April 2024</vt:lpstr>
      <vt:lpstr>March 2024</vt:lpstr>
      <vt:lpstr>February 2024</vt:lpstr>
      <vt:lpstr>January 2024</vt:lpstr>
      <vt:lpstr>November 2024</vt:lpstr>
      <vt:lpstr>December 2024</vt:lpstr>
      <vt:lpstr>'2024 Check Register-p3'!Print_Area</vt:lpstr>
      <vt:lpstr>'April 2024'!Print_Area</vt:lpstr>
      <vt:lpstr>'December 2024'!Print_Area</vt:lpstr>
      <vt:lpstr>'EXPENSES-p2'!Print_Area</vt:lpstr>
      <vt:lpstr>'Jul 2024'!Print_Area</vt:lpstr>
      <vt:lpstr>'June 2024'!Print_Area</vt:lpstr>
      <vt:lpstr>'March 2024'!Print_Area</vt:lpstr>
      <vt:lpstr>'May 2024'!Print_Area</vt:lpstr>
      <vt:lpstr>'November 2024'!Print_Area</vt:lpstr>
      <vt:lpstr>'October 2024 p6'!Print_Area</vt:lpstr>
      <vt:lpstr>'Sept 2024 p5'!Print_Area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Treasurer AFG</dc:creator>
  <cp:keywords/>
  <dc:description/>
  <cp:lastModifiedBy>Stephanie Swenson</cp:lastModifiedBy>
  <cp:revision/>
  <cp:lastPrinted>2024-11-07T00:28:56Z</cp:lastPrinted>
  <dcterms:created xsi:type="dcterms:W3CDTF">2019-01-21T21:14:50Z</dcterms:created>
  <dcterms:modified xsi:type="dcterms:W3CDTF">2024-11-07T00:29:11Z</dcterms:modified>
  <cp:category/>
  <cp:contentStatus/>
</cp:coreProperties>
</file>